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codeName="ThisWorkbook" defaultThemeVersion="124226"/>
  <mc:AlternateContent xmlns:mc="http://schemas.openxmlformats.org/markup-compatibility/2006">
    <mc:Choice Requires="x15">
      <x15ac:absPath xmlns:x15ac="http://schemas.microsoft.com/office/spreadsheetml/2010/11/ac" url="C:\muniweb\Northville\Government\"/>
    </mc:Choice>
  </mc:AlternateContent>
  <workbookProtection workbookAlgorithmName="SHA-512" workbookHashValue="vV1CLMS8tInp6zl95MzwGv6TKFI41Tt6vECoPb12XEWzTVudSjwCMfzzW809B0tZPluHxNSq9GI2LZNIFhgt1w==" workbookSaltValue="OoRckr/mHA2jEmGQ101aeQ==" workbookSpinCount="100000" lockStructure="1"/>
  <bookViews>
    <workbookView xWindow="0" yWindow="0" windowWidth="28800" windowHeight="12210" tabRatio="675" firstSheet="3" activeTab="3"/>
  </bookViews>
  <sheets>
    <sheet name="CWUDFsStorage" sheetId="9" state="hidden" r:id="rId1"/>
    <sheet name="Instructions" sheetId="8" state="hidden" r:id="rId2"/>
    <sheet name="Data Input" sheetId="1" state="hidden" r:id="rId3"/>
    <sheet name="Rev" sheetId="2" r:id="rId4"/>
    <sheet name="Exp" sheetId="3" r:id="rId5"/>
    <sheet name="Position" sheetId="4" r:id="rId6"/>
    <sheet name="Obligations" sheetId="6" r:id="rId7"/>
    <sheet name="F-65 Cross-walk" sheetId="5" state="hidden" r:id="rId8"/>
  </sheets>
  <definedNames>
    <definedName name="Citizens_Guide_Instructions" localSheetId="1">Instructions!$A$1:$AV$66</definedName>
    <definedName name="_xlnm.Print_Area" localSheetId="2">'Data Input'!$A$1:$R$75</definedName>
    <definedName name="_xlnm.Print_Area" localSheetId="4">Exp!$A$1:$J$44</definedName>
    <definedName name="_xlnm.Print_Area" localSheetId="6">Obligations!$A$1:$P$38</definedName>
    <definedName name="_xlnm.Print_Area" localSheetId="5">Position!$A$1:$I$40</definedName>
    <definedName name="_xlnm.Print_Area" localSheetId="3">Rev!$A$1:$J$37</definedName>
    <definedName name="_xlnm.Print_Titles" localSheetId="2">'Data Input'!$2:$2</definedName>
  </definedNames>
  <calcPr calcId="162913"/>
</workbook>
</file>

<file path=xl/calcChain.xml><?xml version="1.0" encoding="utf-8"?>
<calcChain xmlns="http://schemas.openxmlformats.org/spreadsheetml/2006/main">
  <c r="O64" i="1" l="1"/>
  <c r="O38" i="1"/>
  <c r="O37" i="1"/>
  <c r="O36" i="1"/>
  <c r="O21" i="1"/>
  <c r="O18" i="1"/>
  <c r="O19" i="1"/>
  <c r="O14" i="1"/>
  <c r="O13" i="1"/>
  <c r="O11" i="1"/>
  <c r="K68" i="1" l="1"/>
  <c r="K64" i="1"/>
  <c r="I45" i="1"/>
  <c r="H45" i="1"/>
  <c r="G45" i="1" s="1"/>
  <c r="F45" i="1" s="1"/>
  <c r="E45" i="1" s="1"/>
  <c r="D45" i="1" s="1"/>
  <c r="M38" i="1"/>
  <c r="L38" i="1"/>
  <c r="K38" i="1"/>
  <c r="J38" i="1"/>
  <c r="M37" i="1"/>
  <c r="L37" i="1"/>
  <c r="K37" i="1"/>
  <c r="J37" i="1"/>
  <c r="H37" i="1"/>
  <c r="G37" i="1"/>
  <c r="M36" i="1"/>
  <c r="L36" i="1"/>
  <c r="K36" i="1"/>
  <c r="J36" i="1"/>
  <c r="M35" i="1"/>
  <c r="L35" i="1"/>
  <c r="K35" i="1"/>
  <c r="H35" i="1"/>
  <c r="G35" i="1"/>
  <c r="H34" i="1"/>
  <c r="G34" i="1"/>
  <c r="F28" i="1"/>
  <c r="H21" i="1"/>
  <c r="G21" i="1"/>
  <c r="F21" i="1"/>
  <c r="E21" i="1"/>
  <c r="M19" i="1"/>
  <c r="L19" i="1"/>
  <c r="K19" i="1"/>
  <c r="J18" i="1"/>
  <c r="M14" i="1"/>
  <c r="L14" i="1"/>
  <c r="K14" i="1"/>
  <c r="J14" i="1"/>
  <c r="I14" i="1"/>
  <c r="H14" i="1"/>
  <c r="G14" i="1"/>
  <c r="F14" i="1"/>
  <c r="E14" i="1"/>
  <c r="M13" i="1"/>
  <c r="L13" i="1"/>
  <c r="K13" i="1"/>
  <c r="J13" i="1"/>
  <c r="I13" i="1"/>
  <c r="M11" i="1"/>
  <c r="L11" i="1"/>
  <c r="K11" i="1"/>
  <c r="J11" i="1"/>
  <c r="I11" i="1"/>
  <c r="H11" i="1"/>
  <c r="G11" i="1"/>
  <c r="M9" i="1"/>
  <c r="L9" i="1"/>
  <c r="M101" i="1" l="1"/>
  <c r="L101" i="1"/>
  <c r="K101" i="1"/>
  <c r="J101" i="1"/>
  <c r="I101" i="1"/>
  <c r="I28" i="1" s="1"/>
  <c r="H101" i="1"/>
  <c r="H28" i="1" s="1"/>
  <c r="G101" i="1"/>
  <c r="G28" i="1" s="1"/>
  <c r="N96" i="1"/>
  <c r="M96" i="1"/>
  <c r="L96" i="1"/>
  <c r="K96" i="1"/>
  <c r="K15" i="1" s="1"/>
  <c r="J96" i="1"/>
  <c r="J15" i="1" s="1"/>
  <c r="I96" i="1"/>
  <c r="H96" i="1"/>
  <c r="G96" i="1"/>
  <c r="G15" i="1" s="1"/>
  <c r="N88" i="1"/>
  <c r="M88" i="1"/>
  <c r="L88" i="1"/>
  <c r="K88" i="1"/>
  <c r="J88" i="1"/>
  <c r="I88" i="1"/>
  <c r="H88" i="1"/>
  <c r="G88" i="1"/>
  <c r="F88" i="1"/>
  <c r="E88" i="1"/>
  <c r="N86" i="1"/>
  <c r="M86" i="1"/>
  <c r="L86" i="1"/>
  <c r="K86" i="1"/>
  <c r="J86" i="1"/>
  <c r="I86" i="1"/>
  <c r="H86" i="1"/>
  <c r="G86" i="1"/>
  <c r="F86" i="1"/>
  <c r="E86" i="1"/>
  <c r="N58" i="1"/>
  <c r="N59" i="1" s="1"/>
  <c r="M58" i="1"/>
  <c r="L58" i="1"/>
  <c r="L59" i="1" s="1"/>
  <c r="K58" i="1"/>
  <c r="J58" i="1"/>
  <c r="J59" i="1" s="1"/>
  <c r="I58" i="1"/>
  <c r="H58" i="1"/>
  <c r="H59" i="1" s="1"/>
  <c r="G58" i="1"/>
  <c r="F58" i="1"/>
  <c r="F59" i="1" s="1"/>
  <c r="E58" i="1"/>
  <c r="D58" i="1"/>
  <c r="D59" i="1" s="1"/>
  <c r="N57" i="1"/>
  <c r="M57" i="1"/>
  <c r="L57" i="1"/>
  <c r="K57" i="1"/>
  <c r="J57" i="1"/>
  <c r="I57" i="1"/>
  <c r="H57" i="1"/>
  <c r="G57" i="1"/>
  <c r="F57" i="1"/>
  <c r="E57" i="1"/>
  <c r="D57" i="1"/>
  <c r="N55" i="1"/>
  <c r="M55" i="1"/>
  <c r="L55" i="1"/>
  <c r="K55" i="1"/>
  <c r="J55" i="1"/>
  <c r="I55" i="1"/>
  <c r="H55" i="1"/>
  <c r="G55" i="1"/>
  <c r="F55" i="1"/>
  <c r="E55" i="1"/>
  <c r="D55" i="1"/>
  <c r="N54" i="1"/>
  <c r="M54" i="1"/>
  <c r="L54" i="1"/>
  <c r="K54" i="1"/>
  <c r="J54" i="1"/>
  <c r="I54" i="1"/>
  <c r="N49" i="1"/>
  <c r="M49" i="1"/>
  <c r="L49" i="1"/>
  <c r="K49" i="1"/>
  <c r="J49" i="1"/>
  <c r="I49" i="1"/>
  <c r="H49" i="1"/>
  <c r="G49" i="1"/>
  <c r="F49" i="1"/>
  <c r="E49" i="1"/>
  <c r="D49" i="1"/>
  <c r="N48" i="1"/>
  <c r="M48" i="1"/>
  <c r="L48" i="1"/>
  <c r="K48" i="1"/>
  <c r="J48" i="1"/>
  <c r="I48" i="1"/>
  <c r="H48" i="1"/>
  <c r="G48" i="1"/>
  <c r="F48" i="1"/>
  <c r="E48" i="1"/>
  <c r="D48" i="1"/>
  <c r="I15" i="1"/>
  <c r="H15" i="1"/>
  <c r="F15" i="1"/>
  <c r="R2" i="1"/>
  <c r="O67" i="1"/>
  <c r="O72" i="1" s="1"/>
  <c r="D60" i="1" l="1"/>
  <c r="H60" i="1"/>
  <c r="I60" i="1"/>
  <c r="M60" i="1"/>
  <c r="G59" i="1"/>
  <c r="K59" i="1"/>
  <c r="E60" i="1"/>
  <c r="J60" i="1"/>
  <c r="F60" i="1"/>
  <c r="N60" i="1"/>
  <c r="G60" i="1"/>
  <c r="K60" i="1"/>
  <c r="L60" i="1"/>
  <c r="E59" i="1"/>
  <c r="I59" i="1"/>
  <c r="M59" i="1"/>
  <c r="H12" i="4"/>
  <c r="H11" i="4"/>
  <c r="H10" i="4"/>
  <c r="I10" i="4" s="1"/>
  <c r="H9" i="4"/>
  <c r="H8" i="4"/>
  <c r="H3" i="4"/>
  <c r="G12" i="4"/>
  <c r="G11" i="4"/>
  <c r="G10" i="4"/>
  <c r="G9" i="4"/>
  <c r="G8" i="4"/>
  <c r="G3" i="4"/>
  <c r="O88" i="1"/>
  <c r="H4" i="3"/>
  <c r="G4" i="3"/>
  <c r="R32" i="1"/>
  <c r="H13" i="3"/>
  <c r="H11" i="3"/>
  <c r="H9" i="3"/>
  <c r="H7" i="3"/>
  <c r="H5" i="3"/>
  <c r="H3" i="3"/>
  <c r="G13" i="3"/>
  <c r="G11" i="3"/>
  <c r="G9" i="3"/>
  <c r="G7" i="3"/>
  <c r="G5" i="3"/>
  <c r="G3" i="3"/>
  <c r="S7" i="1"/>
  <c r="H3" i="2"/>
  <c r="G3" i="2"/>
  <c r="H5" i="2"/>
  <c r="H6" i="2"/>
  <c r="H7" i="2"/>
  <c r="H8" i="2"/>
  <c r="H9" i="2"/>
  <c r="H10" i="2"/>
  <c r="H11" i="2"/>
  <c r="H12" i="2"/>
  <c r="H4" i="2"/>
  <c r="G5" i="2"/>
  <c r="G6" i="2"/>
  <c r="G7" i="2"/>
  <c r="G8" i="2"/>
  <c r="G9" i="2"/>
  <c r="G10" i="2"/>
  <c r="G11" i="2"/>
  <c r="G12" i="2"/>
  <c r="G4" i="2"/>
  <c r="O96" i="1"/>
  <c r="O85" i="1"/>
  <c r="O86" i="1"/>
  <c r="R68" i="1"/>
  <c r="R67" i="1"/>
  <c r="R69" i="1"/>
  <c r="R70" i="1"/>
  <c r="R71" i="1"/>
  <c r="R72" i="1"/>
  <c r="O57" i="1"/>
  <c r="O58" i="1"/>
  <c r="O54" i="1"/>
  <c r="R54" i="1" s="1"/>
  <c r="O55" i="1"/>
  <c r="O48" i="1"/>
  <c r="R48" i="1" s="1"/>
  <c r="O49" i="1"/>
  <c r="O41" i="1"/>
  <c r="R41" i="1" s="1"/>
  <c r="O39" i="1"/>
  <c r="R39" i="1" s="1"/>
  <c r="R36" i="1"/>
  <c r="R35" i="1"/>
  <c r="R37" i="1"/>
  <c r="R38" i="1"/>
  <c r="R34" i="1"/>
  <c r="R19" i="1"/>
  <c r="R20" i="1"/>
  <c r="R21" i="1"/>
  <c r="R22" i="1"/>
  <c r="R23" i="1"/>
  <c r="R24" i="1"/>
  <c r="R25" i="1"/>
  <c r="R26" i="1"/>
  <c r="R27" i="1"/>
  <c r="R28" i="1"/>
  <c r="R18" i="1"/>
  <c r="R8" i="1"/>
  <c r="R9" i="1"/>
  <c r="R10" i="1"/>
  <c r="R11" i="1"/>
  <c r="R12" i="1"/>
  <c r="R13" i="1"/>
  <c r="R14" i="1"/>
  <c r="R15" i="1"/>
  <c r="R7" i="1"/>
  <c r="R29" i="1"/>
  <c r="Q32" i="1"/>
  <c r="O30" i="1"/>
  <c r="O16" i="1"/>
  <c r="O60" i="1" l="1"/>
  <c r="H4" i="4"/>
  <c r="T7" i="1"/>
  <c r="O59" i="1"/>
  <c r="R59" i="1" s="1"/>
  <c r="R16" i="1"/>
  <c r="O31" i="1"/>
  <c r="R30" i="1"/>
  <c r="T19" i="1"/>
  <c r="H5" i="4"/>
  <c r="N67" i="1"/>
  <c r="Q67" i="1" s="1"/>
  <c r="Q38" i="1"/>
  <c r="N41" i="1"/>
  <c r="Q41" i="1" s="1"/>
  <c r="Q19" i="1"/>
  <c r="T14" i="1"/>
  <c r="H16" i="1"/>
  <c r="P37" i="1"/>
  <c r="P13" i="1"/>
  <c r="Q13" i="1"/>
  <c r="I139" i="1"/>
  <c r="I140" i="1"/>
  <c r="I127" i="1"/>
  <c r="I128" i="1"/>
  <c r="I117" i="1"/>
  <c r="I110" i="1"/>
  <c r="P15" i="1"/>
  <c r="K39" i="1"/>
  <c r="G8" i="3"/>
  <c r="P17" i="1"/>
  <c r="Q40" i="1"/>
  <c r="F12" i="4"/>
  <c r="F11" i="4"/>
  <c r="F10" i="4"/>
  <c r="F9" i="4"/>
  <c r="F8" i="4"/>
  <c r="L41" i="1"/>
  <c r="P34" i="1"/>
  <c r="Q34" i="1"/>
  <c r="P35" i="1"/>
  <c r="P36" i="1"/>
  <c r="N128" i="1"/>
  <c r="N127" i="1"/>
  <c r="N139" i="1"/>
  <c r="J140" i="1"/>
  <c r="M139" i="1"/>
  <c r="L139" i="1"/>
  <c r="K139" i="1"/>
  <c r="J139" i="1"/>
  <c r="K127" i="1"/>
  <c r="L127" i="1"/>
  <c r="M127" i="1"/>
  <c r="K128" i="1"/>
  <c r="L128" i="1"/>
  <c r="M128" i="1"/>
  <c r="J128" i="1"/>
  <c r="J127" i="1"/>
  <c r="I39" i="1"/>
  <c r="H39" i="1"/>
  <c r="G39" i="1"/>
  <c r="F39" i="1"/>
  <c r="E39" i="1"/>
  <c r="A38" i="6"/>
  <c r="A40" i="4"/>
  <c r="A44" i="3"/>
  <c r="A37" i="2"/>
  <c r="I67" i="1"/>
  <c r="I72" i="1" s="1"/>
  <c r="H67" i="1"/>
  <c r="H72" i="1" s="1"/>
  <c r="G67" i="1"/>
  <c r="G72" i="1" s="1"/>
  <c r="F67" i="1"/>
  <c r="F72" i="1" s="1"/>
  <c r="E67" i="1"/>
  <c r="E72" i="1" s="1"/>
  <c r="I41" i="1"/>
  <c r="H41" i="1"/>
  <c r="G41" i="1"/>
  <c r="F41" i="1"/>
  <c r="E41" i="1"/>
  <c r="H30" i="1"/>
  <c r="G30" i="1"/>
  <c r="F30" i="1"/>
  <c r="E30" i="1"/>
  <c r="G16" i="1"/>
  <c r="F16" i="1"/>
  <c r="E16" i="1"/>
  <c r="A1" i="6"/>
  <c r="A1" i="4"/>
  <c r="A1" i="3"/>
  <c r="A1" i="2"/>
  <c r="B88" i="1"/>
  <c r="B86" i="1"/>
  <c r="P48" i="1"/>
  <c r="Q48" i="1"/>
  <c r="K140" i="1"/>
  <c r="L140" i="1"/>
  <c r="N140" i="1"/>
  <c r="M140" i="1"/>
  <c r="P54" i="1"/>
  <c r="Q54" i="1"/>
  <c r="Q22" i="1"/>
  <c r="H8" i="3"/>
  <c r="G6" i="3"/>
  <c r="I6" i="3" s="1"/>
  <c r="P20" i="1"/>
  <c r="H6" i="3"/>
  <c r="Q20" i="1"/>
  <c r="M1" i="5"/>
  <c r="Q2" i="1"/>
  <c r="N85" i="1"/>
  <c r="P7" i="1"/>
  <c r="Q10" i="1"/>
  <c r="P11" i="1"/>
  <c r="P18" i="1"/>
  <c r="Q21" i="1"/>
  <c r="Q25" i="1"/>
  <c r="P26" i="1"/>
  <c r="G12" i="3"/>
  <c r="M67" i="1"/>
  <c r="P67" i="1" s="1"/>
  <c r="Q68" i="1"/>
  <c r="P69" i="1"/>
  <c r="N101" i="1"/>
  <c r="L110" i="1"/>
  <c r="K117" i="1"/>
  <c r="Q7" i="1"/>
  <c r="P8" i="1"/>
  <c r="Q11" i="1"/>
  <c r="P12" i="1"/>
  <c r="P19" i="1"/>
  <c r="P23" i="1"/>
  <c r="Q26" i="1"/>
  <c r="H12" i="3"/>
  <c r="P27" i="1"/>
  <c r="J67" i="1"/>
  <c r="J72" i="1" s="1"/>
  <c r="Q69" i="1"/>
  <c r="P70" i="1"/>
  <c r="M110" i="1"/>
  <c r="L117" i="1"/>
  <c r="Q8" i="1"/>
  <c r="P9" i="1"/>
  <c r="Q12" i="1"/>
  <c r="Q23" i="1"/>
  <c r="I9" i="3"/>
  <c r="P24" i="1"/>
  <c r="G10" i="3"/>
  <c r="I10" i="3" s="1"/>
  <c r="Q27" i="1"/>
  <c r="G15" i="3"/>
  <c r="I15" i="3" s="1"/>
  <c r="P29" i="1"/>
  <c r="K67" i="1"/>
  <c r="K72" i="1" s="1"/>
  <c r="Q70" i="1"/>
  <c r="P71" i="1"/>
  <c r="J110" i="1"/>
  <c r="N110" i="1"/>
  <c r="M117" i="1"/>
  <c r="I6" i="2"/>
  <c r="Q9" i="1"/>
  <c r="P10" i="1"/>
  <c r="P21" i="1"/>
  <c r="H10" i="3"/>
  <c r="Q24" i="1"/>
  <c r="P25" i="1"/>
  <c r="H15" i="3"/>
  <c r="Q29" i="1"/>
  <c r="P38" i="1"/>
  <c r="L67" i="1"/>
  <c r="L72" i="1" s="1"/>
  <c r="P68" i="1"/>
  <c r="Q71" i="1"/>
  <c r="K110" i="1"/>
  <c r="J117" i="1"/>
  <c r="N117" i="1"/>
  <c r="I12" i="4"/>
  <c r="M85" i="1"/>
  <c r="J41" i="1"/>
  <c r="J39" i="1"/>
  <c r="M41" i="1"/>
  <c r="P41" i="1" s="1"/>
  <c r="Q28" i="1"/>
  <c r="L39" i="1"/>
  <c r="P22" i="1"/>
  <c r="J16" i="1" l="1"/>
  <c r="I30" i="1"/>
  <c r="I8" i="3"/>
  <c r="H6" i="4"/>
  <c r="R31" i="1"/>
  <c r="Q37" i="1"/>
  <c r="Q36" i="1"/>
  <c r="Q35" i="1"/>
  <c r="P14" i="1"/>
  <c r="I7" i="2"/>
  <c r="K16" i="1"/>
  <c r="P59" i="1"/>
  <c r="G13" i="4"/>
  <c r="M39" i="1"/>
  <c r="P39" i="1" s="1"/>
  <c r="I10" i="2"/>
  <c r="I12" i="2"/>
  <c r="I11" i="3"/>
  <c r="Q15" i="1"/>
  <c r="H13" i="2"/>
  <c r="N72" i="1"/>
  <c r="Q72" i="1" s="1"/>
  <c r="I9" i="2"/>
  <c r="I4" i="2"/>
  <c r="F31" i="1"/>
  <c r="H31" i="1"/>
  <c r="E31" i="1"/>
  <c r="G31" i="1"/>
  <c r="I8" i="4"/>
  <c r="I4" i="3"/>
  <c r="Q14" i="1"/>
  <c r="Q59" i="1"/>
  <c r="N39" i="1"/>
  <c r="Q39" i="1" s="1"/>
  <c r="H13" i="4"/>
  <c r="L30" i="1"/>
  <c r="I13" i="3"/>
  <c r="I12" i="3"/>
  <c r="K30" i="1"/>
  <c r="I7" i="3"/>
  <c r="N30" i="1"/>
  <c r="G5" i="4" s="1"/>
  <c r="H16" i="3"/>
  <c r="Q18" i="1"/>
  <c r="N16" i="1"/>
  <c r="G4" i="4" s="1"/>
  <c r="I8" i="2"/>
  <c r="I5" i="2"/>
  <c r="I14" i="3"/>
  <c r="P28" i="1"/>
  <c r="M30" i="1"/>
  <c r="J30" i="1"/>
  <c r="I16" i="1"/>
  <c r="L16" i="1"/>
  <c r="L31" i="1" s="1"/>
  <c r="M16" i="1"/>
  <c r="M72" i="1"/>
  <c r="P72" i="1" s="1"/>
  <c r="K41" i="1"/>
  <c r="I11" i="4"/>
  <c r="G16" i="3"/>
  <c r="L1" i="5"/>
  <c r="P2" i="1"/>
  <c r="I5" i="3"/>
  <c r="K31" i="1" l="1"/>
  <c r="J31" i="1"/>
  <c r="I31" i="1"/>
  <c r="I9" i="4"/>
  <c r="I13" i="4"/>
  <c r="Q16" i="1"/>
  <c r="N31" i="1"/>
  <c r="I16" i="3"/>
  <c r="Q30" i="1"/>
  <c r="I5" i="4"/>
  <c r="M31" i="1"/>
  <c r="P31" i="1" s="1"/>
  <c r="P30" i="1"/>
  <c r="P16" i="1"/>
  <c r="G13" i="2"/>
  <c r="I13" i="2" s="1"/>
  <c r="I11" i="2"/>
  <c r="L85" i="1"/>
  <c r="K1" i="5"/>
  <c r="Q31" i="1" l="1"/>
  <c r="G6" i="4"/>
  <c r="I6" i="4" s="1"/>
  <c r="I4" i="4"/>
  <c r="K85" i="1"/>
  <c r="J1" i="5"/>
  <c r="I1" i="5" l="1"/>
  <c r="J85" i="1"/>
  <c r="I85" i="1" l="1"/>
  <c r="H1" i="5"/>
  <c r="G1" i="5" l="1"/>
  <c r="H85" i="1"/>
  <c r="F1" i="5" l="1"/>
  <c r="G85" i="1"/>
  <c r="F85" i="1" l="1"/>
  <c r="E1" i="5"/>
  <c r="E85" i="1" l="1"/>
  <c r="D1" i="5"/>
</calcChain>
</file>

<file path=xl/sharedStrings.xml><?xml version="1.0" encoding="utf-8"?>
<sst xmlns="http://schemas.openxmlformats.org/spreadsheetml/2006/main" count="975" uniqueCount="791">
  <si>
    <t>Expenditures</t>
  </si>
  <si>
    <t>Stmt. Of Rev &amp; Exp - All governmental funds</t>
  </si>
  <si>
    <t>Revenue</t>
  </si>
  <si>
    <t>Property taxes</t>
  </si>
  <si>
    <t>Taxes</t>
  </si>
  <si>
    <t>Charges for services</t>
  </si>
  <si>
    <t>State</t>
  </si>
  <si>
    <t>Federal</t>
  </si>
  <si>
    <t>Licenses &amp; fees</t>
  </si>
  <si>
    <t>Interest &amp; rent</t>
  </si>
  <si>
    <t>Other</t>
  </si>
  <si>
    <t>Police &amp; fire</t>
  </si>
  <si>
    <t>Other public safety</t>
  </si>
  <si>
    <t>Roads &amp; bridges</t>
  </si>
  <si>
    <t>Public transportation</t>
  </si>
  <si>
    <t xml:space="preserve">Roads </t>
  </si>
  <si>
    <t>Health &amp; welfare</t>
  </si>
  <si>
    <t>Community &amp; economic development</t>
  </si>
  <si>
    <t>Parks &amp; recreation</t>
  </si>
  <si>
    <t>Other public works</t>
  </si>
  <si>
    <t>Capital outlay</t>
  </si>
  <si>
    <t>Debt service</t>
  </si>
  <si>
    <t>Unallocated fringes &amp; insurance</t>
  </si>
  <si>
    <t>Interfund transfers (net)</t>
  </si>
  <si>
    <t>Surplus (shortfall)</t>
  </si>
  <si>
    <t>General government</t>
  </si>
  <si>
    <t>Total expenditures</t>
  </si>
  <si>
    <t>Extraordinary/ Special items</t>
  </si>
  <si>
    <t>Interfund transfers out</t>
  </si>
  <si>
    <t>Fringe benefits not directly allocated to departments</t>
  </si>
  <si>
    <t>Recreation &amp; culture</t>
  </si>
  <si>
    <t>Other cultural activities</t>
  </si>
  <si>
    <t>Library</t>
  </si>
  <si>
    <t>Oher community development</t>
  </si>
  <si>
    <t>Economic development</t>
  </si>
  <si>
    <t>Planning &amp; zoning</t>
  </si>
  <si>
    <t>Public housing</t>
  </si>
  <si>
    <t>Other health &amp; welfare</t>
  </si>
  <si>
    <t>Veterans' programs</t>
  </si>
  <si>
    <t>Area agency on aging</t>
  </si>
  <si>
    <t>Human services</t>
  </si>
  <si>
    <t>Child care</t>
  </si>
  <si>
    <t>Ambulance</t>
  </si>
  <si>
    <t>Mental health</t>
  </si>
  <si>
    <t>Medical examiner</t>
  </si>
  <si>
    <t>Hospital</t>
  </si>
  <si>
    <t>Alcoholism &amp; substance abuse</t>
  </si>
  <si>
    <t>Health dept.</t>
  </si>
  <si>
    <t>Water or sewer</t>
  </si>
  <si>
    <t>Airports</t>
  </si>
  <si>
    <t>Electricity</t>
  </si>
  <si>
    <t>Trash disposal &amp; landfilling</t>
  </si>
  <si>
    <t>Building regulations</t>
  </si>
  <si>
    <t>Jail</t>
  </si>
  <si>
    <t>Dispatch (if separate)</t>
  </si>
  <si>
    <t>Combined public safety</t>
  </si>
  <si>
    <t>Fire</t>
  </si>
  <si>
    <t>Police</t>
  </si>
  <si>
    <t>Judicial</t>
  </si>
  <si>
    <t>All other gen gov.</t>
  </si>
  <si>
    <t>Building &amp; grounds</t>
  </si>
  <si>
    <t>Finance</t>
  </si>
  <si>
    <t>Elections</t>
  </si>
  <si>
    <t>Clerk</t>
  </si>
  <si>
    <t>Assessing</t>
  </si>
  <si>
    <t>Treasurer</t>
  </si>
  <si>
    <t>Chief executive</t>
  </si>
  <si>
    <t>Legislative</t>
  </si>
  <si>
    <t>EXPENDITURES</t>
  </si>
  <si>
    <t>Total revenue</t>
  </si>
  <si>
    <t>Interfund transfers In</t>
  </si>
  <si>
    <t>Debt issuance</t>
  </si>
  <si>
    <t>Other  refunds &amp; rebates</t>
  </si>
  <si>
    <t>Ambulance services</t>
  </si>
  <si>
    <t>Contributions</t>
  </si>
  <si>
    <t>Sale of fixed assets</t>
  </si>
  <si>
    <t>Special assessments</t>
  </si>
  <si>
    <t>Misc. other revenue</t>
  </si>
  <si>
    <t>Rents &amp; royalties</t>
  </si>
  <si>
    <t>Interest &amp; dividends</t>
  </si>
  <si>
    <t>Fines, penalties &amp; forfeits</t>
  </si>
  <si>
    <t>All other fees</t>
  </si>
  <si>
    <t>Parking fees</t>
  </si>
  <si>
    <t>Parks and recreation fees</t>
  </si>
  <si>
    <t>Other charges for services</t>
  </si>
  <si>
    <t>Police fees</t>
  </si>
  <si>
    <t>Fire run charges</t>
  </si>
  <si>
    <t>All other statutory fees</t>
  </si>
  <si>
    <t>Register of Deeds fees</t>
  </si>
  <si>
    <t>Election charges</t>
  </si>
  <si>
    <t>Clerk's office charges</t>
  </si>
  <si>
    <t>Statutory court fees &amp; charges</t>
  </si>
  <si>
    <t>Court-ordered fees and charges</t>
  </si>
  <si>
    <t>Local donations - other</t>
  </si>
  <si>
    <t>Local donations - transit</t>
  </si>
  <si>
    <t xml:space="preserve">Local donations - Gas, water, electric </t>
  </si>
  <si>
    <t>Local donations - housing &amp; community development</t>
  </si>
  <si>
    <t>Local donations - culture &amp; recreation</t>
  </si>
  <si>
    <t>Local donations - welfare</t>
  </si>
  <si>
    <t>Local donations - health and/or hospitals</t>
  </si>
  <si>
    <t>Local donations - sanitation</t>
  </si>
  <si>
    <t>Local donations - streets &amp; highways</t>
  </si>
  <si>
    <t>Local donations - public safety</t>
  </si>
  <si>
    <t>Local donations - general government</t>
  </si>
  <si>
    <t>State aid - other</t>
  </si>
  <si>
    <t>State aid - transit</t>
  </si>
  <si>
    <t>State aid - electric</t>
  </si>
  <si>
    <t>State aid - water</t>
  </si>
  <si>
    <t>State aid - housing &amp; community development</t>
  </si>
  <si>
    <t>State aid - culture &amp; recreation</t>
  </si>
  <si>
    <t>State aid - welfare</t>
  </si>
  <si>
    <t>State aid - health and/or hospitals</t>
  </si>
  <si>
    <t>State aid - sanitation</t>
  </si>
  <si>
    <t>State aid - streets &amp; bridges</t>
  </si>
  <si>
    <t>State pass-thru of act 51(Streets)</t>
  </si>
  <si>
    <t>State aid - public safety</t>
  </si>
  <si>
    <t>State swamp and land taxes</t>
  </si>
  <si>
    <t>State payment in lieu of taxes</t>
  </si>
  <si>
    <t>State aid - general government</t>
  </si>
  <si>
    <t>State revenue sharing</t>
  </si>
  <si>
    <t>Federal govt. grants - other</t>
  </si>
  <si>
    <t>Federal govt. grants - transit</t>
  </si>
  <si>
    <t>Federal govt. grants - electric</t>
  </si>
  <si>
    <t>Federal govt. grants - water</t>
  </si>
  <si>
    <t>Federal govt. grants - housing &amp; community development</t>
  </si>
  <si>
    <t>Federal govt. grants - culture &amp; recreation</t>
  </si>
  <si>
    <t>Federal govt. grants - welfare</t>
  </si>
  <si>
    <t>Federal govt. grants - health and/or hospitals</t>
  </si>
  <si>
    <t>Federal govt. grants - sanitation</t>
  </si>
  <si>
    <t>Federal govt. grants - streets &amp; highways</t>
  </si>
  <si>
    <t>Federal govt. grants - public safety</t>
  </si>
  <si>
    <t>Federal govt. grants - general government</t>
  </si>
  <si>
    <t>Non-business licenses &amp; permits</t>
  </si>
  <si>
    <t>Business licenses &amp; permits</t>
  </si>
  <si>
    <t>Income tax</t>
  </si>
  <si>
    <t>Industrial facilities tax</t>
  </si>
  <si>
    <t>Hotel/ motel tax</t>
  </si>
  <si>
    <t>Trailer taxes</t>
  </si>
  <si>
    <t>Commercial facilities tax</t>
  </si>
  <si>
    <t>Tax reverted property</t>
  </si>
  <si>
    <t>REVENUE</t>
  </si>
  <si>
    <t>All Governmental Funds (col. A &amp; b)</t>
  </si>
  <si>
    <t>Description</t>
  </si>
  <si>
    <t>F-65 line</t>
  </si>
  <si>
    <t>% change</t>
  </si>
  <si>
    <t>REVENUES</t>
  </si>
  <si>
    <t>Financial position - All governmental funds</t>
  </si>
  <si>
    <t>Total fund balance</t>
  </si>
  <si>
    <t>Fund balance, by component:</t>
  </si>
  <si>
    <t>total fund balance</t>
  </si>
  <si>
    <t>Liabilities not counted on a modified-accrual basis:</t>
  </si>
  <si>
    <t>Assets</t>
  </si>
  <si>
    <t>Percent funded</t>
  </si>
  <si>
    <t>Landfill closure &amp; postclosure care</t>
  </si>
  <si>
    <t>Employee compensated absences</t>
  </si>
  <si>
    <t>Uninsured losses</t>
  </si>
  <si>
    <t>Other claims &amp; contingencies</t>
  </si>
  <si>
    <t>Debt:</t>
  </si>
  <si>
    <t>Unfunded</t>
  </si>
  <si>
    <t>Structured debt</t>
  </si>
  <si>
    <t>OTHER LONG TERM OBLIGATIONS</t>
  </si>
  <si>
    <t>Per capita information</t>
  </si>
  <si>
    <t>Population information</t>
  </si>
  <si>
    <t>Undesignated fund balance</t>
  </si>
  <si>
    <t>Designated</t>
  </si>
  <si>
    <t>Reserved</t>
  </si>
  <si>
    <t>Calculated - Unreserved fund balance</t>
  </si>
  <si>
    <t>Pensions</t>
  </si>
  <si>
    <t>OPEB</t>
  </si>
  <si>
    <t>Sum of all pension &amp; OPEB plans</t>
  </si>
  <si>
    <t>Aggregation</t>
  </si>
  <si>
    <t>Revenue:</t>
  </si>
  <si>
    <t>Expendtiures:</t>
  </si>
  <si>
    <t>Graph data, pulled from above data:</t>
  </si>
  <si>
    <t>Other contractual debt</t>
  </si>
  <si>
    <t>1. Where our money comes from (all governmental funds)</t>
  </si>
  <si>
    <t xml:space="preserve">2. Compared to the prior year </t>
  </si>
  <si>
    <t>3. Revenue sources per capita - compared to the prior year</t>
  </si>
  <si>
    <t xml:space="preserve">4. Historical trends of individual sources </t>
  </si>
  <si>
    <t>1. Where we spend our money (all governmental funds)</t>
  </si>
  <si>
    <t>3. Spending per capita - compared to the prior year</t>
  </si>
  <si>
    <t>4. Historical trends of individual departments:</t>
  </si>
  <si>
    <t>1. How have we managed our governmental fund resources (fund balance)?</t>
  </si>
  <si>
    <t>3. Fund balance per capita - compared to the prior year</t>
  </si>
  <si>
    <t xml:space="preserve">4. Historical trends of individual components </t>
  </si>
  <si>
    <t>1. Pension funding status</t>
  </si>
  <si>
    <t>2. Retiree Health care funding status</t>
  </si>
  <si>
    <t>4. Long Term Debt obligations:</t>
  </si>
  <si>
    <t>5. Debt &amp; other long term obligations per capita - compared to the prior year</t>
  </si>
  <si>
    <t xml:space="preserve">FINANCIAL POSITION </t>
  </si>
  <si>
    <t>Date Input Page</t>
  </si>
  <si>
    <t xml:space="preserve">DPW </t>
  </si>
  <si>
    <t>FUND BALANCE</t>
  </si>
  <si>
    <t>- Reserved/ Restricted</t>
  </si>
  <si>
    <t>- Designated</t>
  </si>
  <si>
    <t>- Undesignated/ unreserved/ unrestricted</t>
  </si>
  <si>
    <t>Total equity</t>
  </si>
  <si>
    <t>Actuarial Liability</t>
  </si>
  <si>
    <t>Contact information:</t>
  </si>
  <si>
    <t>CY</t>
  </si>
  <si>
    <t>PY1</t>
  </si>
  <si>
    <t>PY2</t>
  </si>
  <si>
    <t>PY3</t>
  </si>
  <si>
    <t>PY4</t>
  </si>
  <si>
    <t>PY5</t>
  </si>
  <si>
    <t>Map #</t>
  </si>
  <si>
    <t>41100</t>
  </si>
  <si>
    <t>41200</t>
  </si>
  <si>
    <t>41310</t>
  </si>
  <si>
    <t>41320</t>
  </si>
  <si>
    <t>41400</t>
  </si>
  <si>
    <t>41500</t>
  </si>
  <si>
    <t>41700</t>
  </si>
  <si>
    <t>51100</t>
  </si>
  <si>
    <t>5130*</t>
  </si>
  <si>
    <t>51301</t>
  </si>
  <si>
    <t>51405</t>
  </si>
  <si>
    <t>51400</t>
  </si>
  <si>
    <t>51500</t>
  </si>
  <si>
    <t>51600</t>
  </si>
  <si>
    <t>51700</t>
  </si>
  <si>
    <t>51900</t>
  </si>
  <si>
    <t>51950</t>
  </si>
  <si>
    <t>Other revenue</t>
  </si>
  <si>
    <t>Sale of debt or assets</t>
  </si>
  <si>
    <t>see below</t>
  </si>
  <si>
    <t>premium or discount</t>
  </si>
  <si>
    <t>Payment to refunding agent</t>
  </si>
  <si>
    <t>Proceeds from debt</t>
  </si>
  <si>
    <t>42800</t>
  </si>
  <si>
    <t>42801</t>
  </si>
  <si>
    <t>42810</t>
  </si>
  <si>
    <t>52600</t>
  </si>
  <si>
    <t>Net interfund transfers</t>
  </si>
  <si>
    <t>Transfers in</t>
  </si>
  <si>
    <t>Transfers out</t>
  </si>
  <si>
    <t>42820</t>
  </si>
  <si>
    <t>52500</t>
  </si>
  <si>
    <t>total</t>
  </si>
  <si>
    <t>429*</t>
  </si>
  <si>
    <t>31300.100.100</t>
  </si>
  <si>
    <t>General Fund</t>
  </si>
  <si>
    <t>Debt service funds</t>
  </si>
  <si>
    <t>Cap proj funds</t>
  </si>
  <si>
    <t xml:space="preserve"> Permanent funds</t>
  </si>
  <si>
    <t>31300.400.100</t>
  </si>
  <si>
    <t>31300.200.100</t>
  </si>
  <si>
    <t>31300.300.100</t>
  </si>
  <si>
    <t>31300.500.100</t>
  </si>
  <si>
    <t>31300.100.200</t>
  </si>
  <si>
    <t>31300.300.200</t>
  </si>
  <si>
    <t>31300.200.200</t>
  </si>
  <si>
    <t>31300.400.200</t>
  </si>
  <si>
    <t>31300.500.200</t>
  </si>
  <si>
    <t>Designated fund balances</t>
  </si>
  <si>
    <t>Undesignated fund balances</t>
  </si>
  <si>
    <t>hard-enter</t>
  </si>
  <si>
    <t>21490</t>
  </si>
  <si>
    <t>22300</t>
  </si>
  <si>
    <t>22305</t>
  </si>
  <si>
    <t>22310</t>
  </si>
  <si>
    <t>22610</t>
  </si>
  <si>
    <t>22600</t>
  </si>
  <si>
    <t>Bonds &amp; contracts payable</t>
  </si>
  <si>
    <t>Total long term debt (excl. pension &amp; RHC)</t>
  </si>
  <si>
    <t>MERS</t>
  </si>
  <si>
    <t>P&amp;F</t>
  </si>
  <si>
    <t>Total</t>
  </si>
  <si>
    <t>valuation date:</t>
  </si>
  <si>
    <t>General Retirees</t>
  </si>
  <si>
    <t>extrapolated --&gt;</t>
  </si>
  <si>
    <t>Date of actuarial valuation:</t>
  </si>
  <si>
    <t>Before publishing the spreadsheet to your website, we highly recommend you "hide" the Data Input Tab and the F-65 Crosswalk Tab so that this document will be more user-friendly.  To hide a tab, right click on the tab and select "Hide".</t>
  </si>
  <si>
    <t>On the first two tabs of the Citizens' Guide (revenue and expenditures), table number 4 has been built as an interactive chart.  When this is put on your website, the user can choose any revenue (expenditure) from the drop-down list and see the historical trend for that particular revenue (expenditure).</t>
  </si>
  <si>
    <r>
      <t xml:space="preserve">     </t>
    </r>
    <r>
      <rPr>
        <sz val="11"/>
        <color indexed="8"/>
        <rFont val="Arial"/>
        <family val="2"/>
      </rPr>
      <t>●</t>
    </r>
    <r>
      <rPr>
        <sz val="11"/>
        <color indexed="8"/>
        <rFont val="Arial"/>
        <family val="2"/>
      </rPr>
      <t xml:space="preserve">  Rows 79-83 are grayed out and should be ignored.  This section is necessary in order for the interactive revenue and expenditure charts to operate properly.</t>
    </r>
  </si>
  <si>
    <r>
      <t xml:space="preserve">    </t>
    </r>
    <r>
      <rPr>
        <sz val="11"/>
        <color indexed="8"/>
        <rFont val="Arial"/>
        <family val="2"/>
      </rPr>
      <t>●</t>
    </r>
    <r>
      <rPr>
        <sz val="11"/>
        <color indexed="8"/>
        <rFont val="Arial"/>
        <family val="2"/>
      </rPr>
      <t xml:space="preserve">  Row 69 presents population information.  This is presented so that we can compute measures on a per-capita basis, and will make it easier when you want to do comparisons with other local units in the future.  For 2010, the population count should agree with the U.S. census figures.  For all other years, estimates of population are generally available through your regional council of governments.</t>
    </r>
  </si>
  <si>
    <r>
      <t xml:space="preserve">     </t>
    </r>
    <r>
      <rPr>
        <sz val="11"/>
        <color indexed="8"/>
        <rFont val="Arial"/>
        <family val="2"/>
      </rPr>
      <t>●</t>
    </r>
    <r>
      <rPr>
        <sz val="11"/>
        <color indexed="8"/>
        <rFont val="Arial"/>
        <family val="2"/>
      </rPr>
      <t xml:space="preserve">  Rows 57 through 67 present the debt information from the "long term debt account group."  In other words, this represents all </t>
    </r>
    <r>
      <rPr>
        <u/>
        <sz val="11"/>
        <color indexed="8"/>
        <rFont val="Arial"/>
        <family val="2"/>
      </rPr>
      <t>governmental</t>
    </r>
    <r>
      <rPr>
        <sz val="11"/>
        <color indexed="8"/>
        <rFont val="Arial"/>
        <family val="2"/>
      </rPr>
      <t xml:space="preserve"> liabilities not already reported in the funds themselves.  This information generally can be found in the footnote disclosures of your financial statements.</t>
    </r>
  </si>
  <si>
    <t xml:space="preserve">        »  Many local units only have every other year (or every third year) information related to the actuarial accrued liability (AAL) for retiree health care plans.  For those communities, we recommend extrapolating the information between valuations so that a fair picture can still be obtained.  For example:  if the 2007 AAL was $5 million and the 2010 AAL was $8 million, you could extrapolate to $6 million for 2008 and $7 million for 2009. </t>
  </si>
  <si>
    <t xml:space="preserve">        »  This information should be in the footnote disclosures of your annual financial statements; it is also available in your actuarial valuations.</t>
  </si>
  <si>
    <r>
      <t xml:space="preserve">     </t>
    </r>
    <r>
      <rPr>
        <sz val="11"/>
        <color indexed="8"/>
        <rFont val="Arial"/>
        <family val="2"/>
      </rPr>
      <t>●</t>
    </r>
    <r>
      <rPr>
        <sz val="11"/>
        <color indexed="8"/>
        <rFont val="Arial"/>
        <family val="2"/>
      </rPr>
      <t xml:space="preserve">  Rows 39 through 54 presents the funded status of all "defined benefit" employee benefit plans (pension plans, retiree health care, or any other OPEB plans.)</t>
    </r>
  </si>
  <si>
    <t xml:space="preserve">         »  If you have any fund balance categories that are not being used by your local unit (i.e., you have no reservations or you have no designation), please "hide" those rows on the data input sheet.  This will remove them from the graphs.</t>
  </si>
  <si>
    <r>
      <t xml:space="preserve">         » This should include the General Fund </t>
    </r>
    <r>
      <rPr>
        <u/>
        <sz val="11"/>
        <color indexed="8"/>
        <rFont val="Arial"/>
        <family val="2"/>
      </rPr>
      <t>plus</t>
    </r>
    <r>
      <rPr>
        <sz val="11"/>
        <color indexed="8"/>
        <rFont val="Arial"/>
        <family val="2"/>
      </rPr>
      <t xml:space="preserve"> all special revenue, debt service, capital project, and permanent funds (if you are using the F-65, this is the sum of columns (a) and (b).</t>
    </r>
  </si>
  <si>
    <r>
      <t xml:space="preserve">     </t>
    </r>
    <r>
      <rPr>
        <sz val="11"/>
        <color indexed="8"/>
        <rFont val="Arial"/>
        <family val="2"/>
      </rPr>
      <t>●</t>
    </r>
    <r>
      <rPr>
        <sz val="11"/>
        <color indexed="8"/>
        <rFont val="Arial"/>
        <family val="2"/>
      </rPr>
      <t xml:space="preserve">  Rows 31 through 35 present the fund balance as of the balance sheet date;</t>
    </r>
  </si>
  <si>
    <t xml:space="preserve">         »  If you have any revenue or expenditure categories that are not being used by your local unit, please "hide" those rows on the data input sheet.  This will remove them from the graphs so that the graphical presentation will be easier for the citizen to understand.  This will be very common; for instance, row 27-extraordinary/special items, is quite uncommon to use. </t>
  </si>
  <si>
    <r>
      <t xml:space="preserve">         »  This should include the General Fund </t>
    </r>
    <r>
      <rPr>
        <u/>
        <sz val="11"/>
        <color indexed="8"/>
        <rFont val="Arial"/>
        <family val="2"/>
      </rPr>
      <t>plus</t>
    </r>
    <r>
      <rPr>
        <sz val="11"/>
        <color indexed="8"/>
        <rFont val="Arial"/>
        <family val="2"/>
      </rPr>
      <t xml:space="preserve"> all special revenue, debt service, capital project, and permanent funds (if you are using the F-65, this is the sum of columns (a) and (b).</t>
    </r>
  </si>
  <si>
    <r>
      <t xml:space="preserve">     </t>
    </r>
    <r>
      <rPr>
        <sz val="11"/>
        <color indexed="8"/>
        <rFont val="Arial"/>
        <family val="2"/>
      </rPr>
      <t>●</t>
    </r>
    <r>
      <rPr>
        <sz val="11"/>
        <color indexed="8"/>
        <rFont val="Arial"/>
        <family val="2"/>
      </rPr>
      <t xml:space="preserve">  Rows 4 through 29 present the revenues and expenditures from </t>
    </r>
    <r>
      <rPr>
        <u/>
        <sz val="11"/>
        <color indexed="8"/>
        <rFont val="Arial"/>
        <family val="2"/>
      </rPr>
      <t>all governmental funds.</t>
    </r>
  </si>
  <si>
    <r>
      <t xml:space="preserve">     </t>
    </r>
    <r>
      <rPr>
        <sz val="11"/>
        <color indexed="8"/>
        <rFont val="Arial"/>
        <family val="2"/>
      </rPr>
      <t>●</t>
    </r>
    <r>
      <rPr>
        <sz val="11"/>
        <color indexed="8"/>
        <rFont val="Arial"/>
        <family val="2"/>
      </rPr>
      <t xml:space="preserve">  The model requires 5 years of data, but allows for 10 years (10 years being preferable.)  In order for the graphs to ignore the first five years, we have hidden those columns.  If you want to use more than five years, just "unhide" columns C-G and the input areas will be available.</t>
    </r>
  </si>
  <si>
    <t>To enter information in the data input tab, you will need to have copies of your financial statements, trial balances, or F-65 forms.  To use the spreadsheet:</t>
  </si>
  <si>
    <r>
      <t xml:space="preserve">     </t>
    </r>
    <r>
      <rPr>
        <sz val="11"/>
        <color indexed="8"/>
        <rFont val="Arial"/>
        <family val="2"/>
      </rPr>
      <t>●</t>
    </r>
    <r>
      <rPr>
        <sz val="11"/>
        <color indexed="8"/>
        <rFont val="Arial"/>
        <family val="2"/>
      </rPr>
      <t xml:space="preserve">  Other long-term obligations</t>
    </r>
  </si>
  <si>
    <r>
      <t xml:space="preserve">     </t>
    </r>
    <r>
      <rPr>
        <sz val="11"/>
        <color indexed="8"/>
        <rFont val="Arial"/>
        <family val="2"/>
      </rPr>
      <t>●</t>
    </r>
    <r>
      <rPr>
        <sz val="11"/>
        <color indexed="8"/>
        <rFont val="Arial"/>
        <family val="2"/>
      </rPr>
      <t xml:space="preserve">  Financial Position     </t>
    </r>
  </si>
  <si>
    <r>
      <t xml:space="preserve">     </t>
    </r>
    <r>
      <rPr>
        <sz val="11"/>
        <color indexed="8"/>
        <rFont val="Arial"/>
        <family val="2"/>
      </rPr>
      <t>●</t>
    </r>
    <r>
      <rPr>
        <sz val="11"/>
        <color indexed="8"/>
        <rFont val="Arial"/>
        <family val="2"/>
      </rPr>
      <t xml:space="preserve">  Expenditures </t>
    </r>
  </si>
  <si>
    <r>
      <t xml:space="preserve">     </t>
    </r>
    <r>
      <rPr>
        <sz val="11"/>
        <color indexed="8"/>
        <rFont val="Arial"/>
        <family val="2"/>
      </rPr>
      <t>●</t>
    </r>
    <r>
      <rPr>
        <sz val="11"/>
        <color indexed="8"/>
        <rFont val="Arial"/>
        <family val="2"/>
      </rPr>
      <t xml:space="preserve">  Revenues</t>
    </r>
  </si>
  <si>
    <t>The spreadsheet is organized by tabs.  The first tab to the right of the Instruction tab is titled "Data Input" and is the only tab where you should have to enter data or make modifications.  The next four tabs contain the Citizens' Guide organized as follows:</t>
  </si>
  <si>
    <t>INSTRUCTIONS FOR THE CITIZEN'S GUIDE SPREADSHEET</t>
  </si>
  <si>
    <t>Spec Rev funds</t>
  </si>
  <si>
    <t>Sale of asets</t>
  </si>
  <si>
    <t>CITIZENS' GUIDE TO LOCAL UNIT FINANCES - City of Northville</t>
  </si>
  <si>
    <t>41600</t>
  </si>
  <si>
    <t>Nonspendable</t>
  </si>
  <si>
    <t>Restricted/Reserved</t>
  </si>
  <si>
    <t>Committed</t>
  </si>
  <si>
    <t>Assigned/Designated</t>
  </si>
  <si>
    <t>Unassigned/Undesignated</t>
  </si>
  <si>
    <t>32000.500</t>
  </si>
  <si>
    <t>32000.400</t>
  </si>
  <si>
    <t>32000.300</t>
  </si>
  <si>
    <t>32000.200</t>
  </si>
  <si>
    <t>32000.100</t>
  </si>
  <si>
    <t>Data Input</t>
  </si>
  <si>
    <t>$M$2</t>
  </si>
  <si>
    <t xml:space="preserve"> YEAR(cw_clp("clp63"))</t>
  </si>
  <si>
    <t>$I$7</t>
  </si>
  <si>
    <t xml:space="preserve"> -cw_map(CONCATENATE("BR:",I$3),"TMA-&gt;"&amp;$C7)</t>
  </si>
  <si>
    <t>$J$7</t>
  </si>
  <si>
    <t xml:space="preserve"> -cw_map(CONCATENATE("BR:",J$3),"TMA-&gt;"&amp;$C7)</t>
  </si>
  <si>
    <t>$K$7</t>
  </si>
  <si>
    <t xml:space="preserve"> -cw_map(CONCATENATE("BR:",K$3),"TMA-&gt;"&amp;$C7)</t>
  </si>
  <si>
    <t>$L$7</t>
  </si>
  <si>
    <t xml:space="preserve"> -cw_map(CONCATENATE("BR:",L$3),"TMA-&gt;"&amp;$C7)</t>
  </si>
  <si>
    <t>$M$7</t>
  </si>
  <si>
    <t xml:space="preserve"> -cw_map(CONCATENATE("BR:",M$3),"TMA-&gt;"&amp;$C7)</t>
  </si>
  <si>
    <t>$I$8</t>
  </si>
  <si>
    <t xml:space="preserve"> -cw_map(CONCATENATE("BR:",I$3),"TMA-&gt;"&amp;$C8)</t>
  </si>
  <si>
    <t>$J$8</t>
  </si>
  <si>
    <t xml:space="preserve"> -cw_map(CONCATENATE("BR:",J$3),"TMA-&gt;"&amp;$C8)</t>
  </si>
  <si>
    <t>$K$8</t>
  </si>
  <si>
    <t xml:space="preserve"> -cw_map(CONCATENATE("BR:",K$3),"TMA-&gt;"&amp;$C8)</t>
  </si>
  <si>
    <t>$L$8</t>
  </si>
  <si>
    <t xml:space="preserve"> -cw_map(CONCATENATE("BR:",L$3),"TMA-&gt;"&amp;$C8)</t>
  </si>
  <si>
    <t>$M$8</t>
  </si>
  <si>
    <t xml:space="preserve"> -cw_map(CONCATENATE("BR:",M$3),"TMA-&gt;"&amp;$C8)</t>
  </si>
  <si>
    <t>$I$9</t>
  </si>
  <si>
    <t xml:space="preserve"> -cw_map(CONCATENATE("BR:",I$3),"TMA-&gt;"&amp;$C9)</t>
  </si>
  <si>
    <t>$J$9</t>
  </si>
  <si>
    <t xml:space="preserve"> -cw_map(CONCATENATE("BR:",J$3),"TMA-&gt;"&amp;$C9)</t>
  </si>
  <si>
    <t>$K$9</t>
  </si>
  <si>
    <t xml:space="preserve"> -cw_map(CONCATENATE("BR:",K$3),"TMA-&gt;"&amp;$C9)</t>
  </si>
  <si>
    <t>$L$9</t>
  </si>
  <si>
    <t xml:space="preserve"> -cw_map(CONCATENATE("BR:",L$3),"TMA-&gt;"&amp;$C9)</t>
  </si>
  <si>
    <t>$M$9</t>
  </si>
  <si>
    <t xml:space="preserve"> -cw_map(CONCATENATE("BR:",M$3),"TMA-&gt;"&amp;$C9)</t>
  </si>
  <si>
    <t>$I$10</t>
  </si>
  <si>
    <t xml:space="preserve"> -cw_map(CONCATENATE("BR:",I$3),"TMA-&gt;"&amp;$C10)</t>
  </si>
  <si>
    <t>$J$10</t>
  </si>
  <si>
    <t xml:space="preserve"> -cw_map(CONCATENATE("BR:",J$3),"TMA-&gt;"&amp;$C10)</t>
  </si>
  <si>
    <t>$K$10</t>
  </si>
  <si>
    <t xml:space="preserve"> -cw_map(CONCATENATE("BR:",K$3),"TMA-&gt;"&amp;$C10)</t>
  </si>
  <si>
    <t>$L$10</t>
  </si>
  <si>
    <t xml:space="preserve"> -cw_map(CONCATENATE("BR:",L$3),"TMA-&gt;"&amp;$C10)</t>
  </si>
  <si>
    <t>$M$10</t>
  </si>
  <si>
    <t xml:space="preserve"> -cw_map(CONCATENATE("BR:",M$3),"TMA-&gt;"&amp;$C10)</t>
  </si>
  <si>
    <t>$I$11</t>
  </si>
  <si>
    <t xml:space="preserve"> -cw_map(CONCATENATE("BR:",I$3),"TMA-&gt;"&amp;$C11)</t>
  </si>
  <si>
    <t>$J$11</t>
  </si>
  <si>
    <t xml:space="preserve"> -cw_map(CONCATENATE("BR:",J$3),"TMA-&gt;"&amp;$C11)</t>
  </si>
  <si>
    <t>$K$11</t>
  </si>
  <si>
    <t xml:space="preserve"> -cw_map(CONCATENATE("BR:",K$3),"TMA-&gt;"&amp;$C11)</t>
  </si>
  <si>
    <t>$L$11</t>
  </si>
  <si>
    <t xml:space="preserve"> -cw_map(CONCATENATE("BR:",L$3),"TMA-&gt;"&amp;$C11)</t>
  </si>
  <si>
    <t>$M$11</t>
  </si>
  <si>
    <t xml:space="preserve"> -cw_map(CONCATENATE("BR:",M$3),"TMA-&gt;"&amp;$C11)</t>
  </si>
  <si>
    <t>$I$12</t>
  </si>
  <si>
    <t xml:space="preserve"> -cw_map(CONCATENATE("BR:",I$3),"TMA-&gt;"&amp;$C12)</t>
  </si>
  <si>
    <t>$J$12</t>
  </si>
  <si>
    <t xml:space="preserve"> -cw_map(CONCATENATE("BR:",J$3),"TMA-&gt;"&amp;$C12)</t>
  </si>
  <si>
    <t>$K$12</t>
  </si>
  <si>
    <t xml:space="preserve"> -cw_map(CONCATENATE("BR:",K$3),"TMA-&gt;"&amp;$C12)</t>
  </si>
  <si>
    <t>$L$12</t>
  </si>
  <si>
    <t xml:space="preserve"> -cw_map(CONCATENATE("BR:",L$3),"TMA-&gt;"&amp;$C12)</t>
  </si>
  <si>
    <t>$M$12</t>
  </si>
  <si>
    <t xml:space="preserve"> -cw_map(CONCATENATE("BR:",M$3),"TMA-&gt;"&amp;$C12)</t>
  </si>
  <si>
    <t>$I$13</t>
  </si>
  <si>
    <t xml:space="preserve"> -cw_map(CONCATENATE("BR:",I$3),"TMA-&gt;"&amp;$C13)</t>
  </si>
  <si>
    <t>$J$13</t>
  </si>
  <si>
    <t xml:space="preserve"> -cw_map(CONCATENATE("BR:",J$3),"TMA-&gt;"&amp;$C13)</t>
  </si>
  <si>
    <t>$K$13</t>
  </si>
  <si>
    <t xml:space="preserve"> -cw_map(CONCATENATE("BR:",K$3),"TMA-&gt;"&amp;$C13)</t>
  </si>
  <si>
    <t>$L$13</t>
  </si>
  <si>
    <t xml:space="preserve"> -cw_map(CONCATENATE("BR:",L$3),"TMA-&gt;"&amp;$C13)</t>
  </si>
  <si>
    <t>$M$13</t>
  </si>
  <si>
    <t xml:space="preserve"> -cw_map(CONCATENATE("BR:",M$3),"TMA-&gt;"&amp;$C13)</t>
  </si>
  <si>
    <t>$I$14</t>
  </si>
  <si>
    <t xml:space="preserve"> -cw_map(CONCATENATE("BR:",I$3),"TMA-&gt;"&amp;$C14)</t>
  </si>
  <si>
    <t>$J$14</t>
  </si>
  <si>
    <t xml:space="preserve"> -cw_map(CONCATENATE("BR:",J$3),"TMA-&gt;"&amp;$C14)</t>
  </si>
  <si>
    <t>$K$14</t>
  </si>
  <si>
    <t xml:space="preserve"> -cw_map(CONCATENATE("BR:",K$3),"TMA-&gt;"&amp;$C14)</t>
  </si>
  <si>
    <t>$L$14</t>
  </si>
  <si>
    <t xml:space="preserve"> -cw_map(CONCATENATE("BR:",L$3),"TMA-&gt;"&amp;$C14)</t>
  </si>
  <si>
    <t>$M$14</t>
  </si>
  <si>
    <t xml:space="preserve"> -cw_map(CONCATENATE("BR:",M$3),"TMA-&gt;"&amp;$C14)</t>
  </si>
  <si>
    <t>$I$19</t>
  </si>
  <si>
    <t xml:space="preserve"> cw_map(CONCATENATE("BR:",I$3),"TMA-&gt;"&amp;$C19)</t>
  </si>
  <si>
    <t>$J$19</t>
  </si>
  <si>
    <t xml:space="preserve"> cw_map(CONCATENATE("BR:",J$3),"TMA-&gt;"&amp;$C19)</t>
  </si>
  <si>
    <t>$K$19</t>
  </si>
  <si>
    <t xml:space="preserve"> cw_map(CONCATENATE("BR:",K$3),"TMA-&gt;"&amp;$C19)</t>
  </si>
  <si>
    <t>$L$19</t>
  </si>
  <si>
    <t xml:space="preserve"> cw_map(CONCATENATE("BR:",L$3),"TMA-&gt;"&amp;$C19)</t>
  </si>
  <si>
    <t>$M$19</t>
  </si>
  <si>
    <t xml:space="preserve"> cw_map(CONCATENATE("BR:",M$3),"TMA-&gt;"&amp;$C19)</t>
  </si>
  <si>
    <t>$I$20</t>
  </si>
  <si>
    <t xml:space="preserve"> cw_map(CONCATENATE("BR:",I$3),"TMA-&gt;"&amp;$C20)</t>
  </si>
  <si>
    <t>$J$20</t>
  </si>
  <si>
    <t xml:space="preserve"> cw_map(CONCATENATE("BR:",J$3),"TMA-&gt;"&amp;$C20)</t>
  </si>
  <si>
    <t>$K$20</t>
  </si>
  <si>
    <t xml:space="preserve"> cw_map(CONCATENATE("BR:",K$3),"TMA-&gt;"&amp;$C20)</t>
  </si>
  <si>
    <t>$L$20</t>
  </si>
  <si>
    <t xml:space="preserve"> cw_map(CONCATENATE("BR:",L$3),"TMA-&gt;"&amp;$C20)</t>
  </si>
  <si>
    <t>$M$20</t>
  </si>
  <si>
    <t xml:space="preserve"> cw_map(CONCATENATE("BR:",M$3),"TMA-&gt;"&amp;$C20)</t>
  </si>
  <si>
    <t>$I$21</t>
  </si>
  <si>
    <t xml:space="preserve"> cw_map(CONCATENATE("BR:",I$3),"TMA-&gt;"&amp;$C21)-I20</t>
  </si>
  <si>
    <t>$J$21</t>
  </si>
  <si>
    <t xml:space="preserve"> cw_map(CONCATENATE("BR:",J$3),"TMA-&gt;"&amp;$C21)-J20</t>
  </si>
  <si>
    <t>$K$21</t>
  </si>
  <si>
    <t xml:space="preserve"> cw_map(CONCATENATE("BR:",K$3),"TMA-&gt;"&amp;$C21)-K20</t>
  </si>
  <si>
    <t>$L$21</t>
  </si>
  <si>
    <t xml:space="preserve"> cw_map(CONCATENATE("BR:",L$3),"TMA-&gt;"&amp;$C21)-L20</t>
  </si>
  <si>
    <t>$M$21</t>
  </si>
  <si>
    <t xml:space="preserve"> cw_map(CONCATENATE("BR:",M$3),"TMA-&gt;"&amp;$C21)-M20</t>
  </si>
  <si>
    <t>$I$22</t>
  </si>
  <si>
    <t xml:space="preserve"> cw_map(CONCATENATE("BR:",I$3),"TMA-&gt;"&amp;$C22)</t>
  </si>
  <si>
    <t>$J$22</t>
  </si>
  <si>
    <t xml:space="preserve"> cw_map(CONCATENATE("BR:",J$3),"TMA-&gt;"&amp;$C22)</t>
  </si>
  <si>
    <t>$K$22</t>
  </si>
  <si>
    <t xml:space="preserve"> cw_map(CONCATENATE("BR:",K$3),"TMA-&gt;"&amp;$C22)</t>
  </si>
  <si>
    <t>$L$22</t>
  </si>
  <si>
    <t xml:space="preserve"> cw_map(CONCATENATE("BR:",L$3),"TMA-&gt;"&amp;$C22)</t>
  </si>
  <si>
    <t>$M$22</t>
  </si>
  <si>
    <t xml:space="preserve"> cw_map(CONCATENATE("BR:",M$3),"TMA-&gt;"&amp;$C22)</t>
  </si>
  <si>
    <t>$I$23</t>
  </si>
  <si>
    <t xml:space="preserve"> cw_map(CONCATENATE("BR:",I$3),"TMA-&gt;"&amp;$C23)-I22</t>
  </si>
  <si>
    <t>$J$23</t>
  </si>
  <si>
    <t xml:space="preserve"> cw_map(CONCATENATE("BR:",J$3),"TMA-&gt;"&amp;$C23)-J22</t>
  </si>
  <si>
    <t>$K$23</t>
  </si>
  <si>
    <t xml:space="preserve"> cw_map(CONCATENATE("BR:",K$3),"TMA-&gt;"&amp;$C23)-K22</t>
  </si>
  <si>
    <t>$L$23</t>
  </si>
  <si>
    <t xml:space="preserve"> cw_map(CONCATENATE("BR:",L$3),"TMA-&gt;"&amp;$C23)-L22</t>
  </si>
  <si>
    <t>$M$23</t>
  </si>
  <si>
    <t xml:space="preserve"> cw_map(CONCATENATE("BR:",M$3),"TMA-&gt;"&amp;$C23)-M22</t>
  </si>
  <si>
    <t>$I$24</t>
  </si>
  <si>
    <t xml:space="preserve"> cw_map(CONCATENATE("BR:",I$3),"TMA-&gt;"&amp;$C24)</t>
  </si>
  <si>
    <t>$J$24</t>
  </si>
  <si>
    <t xml:space="preserve"> cw_map(CONCATENATE("BR:",J$3),"TMA-&gt;"&amp;$C24)</t>
  </si>
  <si>
    <t>$K$24</t>
  </si>
  <si>
    <t xml:space="preserve"> cw_map(CONCATENATE("BR:",K$3),"TMA-&gt;"&amp;$C24)</t>
  </si>
  <si>
    <t>$L$24</t>
  </si>
  <si>
    <t xml:space="preserve"> cw_map(CONCATENATE("BR:",L$3),"TMA-&gt;"&amp;$C24)</t>
  </si>
  <si>
    <t>$M$24</t>
  </si>
  <si>
    <t xml:space="preserve"> cw_map(CONCATENATE("BR:",M$3),"TMA-&gt;"&amp;$C24)</t>
  </si>
  <si>
    <t>$I$25</t>
  </si>
  <si>
    <t xml:space="preserve"> cw_map(CONCATENATE("BR:",I$3),"TMA-&gt;"&amp;$C25)</t>
  </si>
  <si>
    <t>$J$25</t>
  </si>
  <si>
    <t xml:space="preserve"> cw_map(CONCATENATE("BR:",J$3),"TMA-&gt;"&amp;$C25)</t>
  </si>
  <si>
    <t>$K$25</t>
  </si>
  <si>
    <t xml:space="preserve"> cw_map(CONCATENATE("BR:",K$3),"TMA-&gt;"&amp;$C25)</t>
  </si>
  <si>
    <t>$L$25</t>
  </si>
  <si>
    <t xml:space="preserve"> cw_map(CONCATENATE("BR:",L$3),"TMA-&gt;"&amp;$C25)</t>
  </si>
  <si>
    <t>$M$25</t>
  </si>
  <si>
    <t xml:space="preserve"> cw_map(CONCATENATE("BR:",M$3),"TMA-&gt;"&amp;$C25)</t>
  </si>
  <si>
    <t>$I$26</t>
  </si>
  <si>
    <t xml:space="preserve"> cw_map(CONCATENATE("BR:",I$3),"TMA-&gt;"&amp;$C26)</t>
  </si>
  <si>
    <t>$J$26</t>
  </si>
  <si>
    <t xml:space="preserve"> cw_map(CONCATENATE("BR:",J$3),"TMA-&gt;"&amp;$C26)</t>
  </si>
  <si>
    <t>$K$26</t>
  </si>
  <si>
    <t xml:space="preserve"> cw_map(CONCATENATE("BR:",K$3),"TMA-&gt;"&amp;$C26)</t>
  </si>
  <si>
    <t>$L$26</t>
  </si>
  <si>
    <t xml:space="preserve"> cw_map(CONCATENATE("BR:",L$3),"TMA-&gt;"&amp;$C26)</t>
  </si>
  <si>
    <t>$M$26</t>
  </si>
  <si>
    <t xml:space="preserve"> cw_map(CONCATENATE("BR:",M$3),"TMA-&gt;"&amp;$C26)</t>
  </si>
  <si>
    <t>$I$27</t>
  </si>
  <si>
    <t xml:space="preserve"> cw_map(CONCATENATE("BR:",I$3),"TMA-&gt;"&amp;$C27)</t>
  </si>
  <si>
    <t>$J$27</t>
  </si>
  <si>
    <t xml:space="preserve"> cw_map(CONCATENATE("BR:",J$3),"TMA-&gt;"&amp;$C27)</t>
  </si>
  <si>
    <t>$K$27</t>
  </si>
  <si>
    <t xml:space="preserve"> cw_map(CONCATENATE("BR:",K$3),"TMA-&gt;"&amp;$C27)</t>
  </si>
  <si>
    <t>$L$27</t>
  </si>
  <si>
    <t xml:space="preserve"> cw_map(CONCATENATE("BR:",L$3),"TMA-&gt;"&amp;$C27)</t>
  </si>
  <si>
    <t>$M$27</t>
  </si>
  <si>
    <t xml:space="preserve"> cw_map(CONCATENATE("BR:",M$3),"TMA-&gt;"&amp;$C27)</t>
  </si>
  <si>
    <t>$I$28</t>
  </si>
  <si>
    <t xml:space="preserve"> cw_map(CONCATENATE("BR:",I$3),"TMA-&gt;"&amp;$C28)</t>
  </si>
  <si>
    <t>$J$28</t>
  </si>
  <si>
    <t xml:space="preserve"> cw_map(CONCATENATE("BR:",J$3),"TMA-&gt;"&amp;$C28)</t>
  </si>
  <si>
    <t>$K$28</t>
  </si>
  <si>
    <t xml:space="preserve"> cw_map(CONCATENATE("BR:",K$3),"TMA-&gt;"&amp;$C28)</t>
  </si>
  <si>
    <t>$L$28</t>
  </si>
  <si>
    <t xml:space="preserve"> cw_map(CONCATENATE("BR:",L$3),"TMA-&gt;"&amp;$C28)</t>
  </si>
  <si>
    <t>$M$28</t>
  </si>
  <si>
    <t xml:space="preserve"> cw_map(CONCATENATE("BR:",M$3),"TMA-&gt;"&amp;$C28)</t>
  </si>
  <si>
    <t>$I$30</t>
  </si>
  <si>
    <t xml:space="preserve"> cw_map(CONCATENATE("BR:",I$3),"TMA-&gt;"&amp;$C30)</t>
  </si>
  <si>
    <t>$J$30</t>
  </si>
  <si>
    <t xml:space="preserve"> cw_map(CONCATENATE("BR:",J$3),"TMA-&gt;"&amp;$C30)</t>
  </si>
  <si>
    <t>$K$30</t>
  </si>
  <si>
    <t xml:space="preserve"> cw_map(CONCATENATE("BR:",K$3),"TMA-&gt;"&amp;$C30)</t>
  </si>
  <si>
    <t>$L$30</t>
  </si>
  <si>
    <t xml:space="preserve"> cw_map(CONCATENATE("BR:",L$3),"TMA-&gt;"&amp;$C30)</t>
  </si>
  <si>
    <t>$M$30</t>
  </si>
  <si>
    <t xml:space="preserve"> cw_map(CONCATENATE("BR:",M$3),"TMA-&gt;"&amp;$C30)</t>
  </si>
  <si>
    <t>$I$35</t>
  </si>
  <si>
    <t xml:space="preserve"> -cw_map(CONCATENATE("BR:",I$3),"TMA-&gt;"&amp;$C35)</t>
  </si>
  <si>
    <t>$J$35</t>
  </si>
  <si>
    <t xml:space="preserve"> -cw_map(CONCATENATE("BR:",J$3),"TMA-&gt;"&amp;$C35)</t>
  </si>
  <si>
    <t>$I$36</t>
  </si>
  <si>
    <t xml:space="preserve"> -cw_map(CONCATENATE("BR:",I$3),"TMA-&gt;"&amp;$C36)</t>
  </si>
  <si>
    <t>$J$36</t>
  </si>
  <si>
    <t xml:space="preserve"> -cw_map(CONCATENATE("BR:",J$3),"TMA-&gt;"&amp;$C36)</t>
  </si>
  <si>
    <t>$M$35</t>
  </si>
  <si>
    <t xml:space="preserve"> -cw_map(CONCATENATE("BR:",M$3),"TMA-&gt;"&amp;$C35)</t>
  </si>
  <si>
    <t>$M$36</t>
  </si>
  <si>
    <t xml:space="preserve"> -cw_map(CONCATENATE("BR:",M$3),"TMA-&gt;"&amp;$C36)</t>
  </si>
  <si>
    <t>$M$37</t>
  </si>
  <si>
    <t xml:space="preserve"> -cw_map(CONCATENATE("BR:",M$3),"TMA-&gt;"&amp;$C37)</t>
  </si>
  <si>
    <t>$I$38</t>
  </si>
  <si>
    <t xml:space="preserve"> -cw_map(CONCATENATE("BR:",I$3),"TMA-&gt;"&amp;$C38)</t>
  </si>
  <si>
    <t>$J$38</t>
  </si>
  <si>
    <t xml:space="preserve"> -cw_map(CONCATENATE("BR:",J$3),"TMA-&gt;"&amp;$C38)</t>
  </si>
  <si>
    <t>$M$38</t>
  </si>
  <si>
    <t xml:space="preserve"> -cw_map(CONCATENATE("BR:",M$3),"TMA-&gt;"&amp;$C38)</t>
  </si>
  <si>
    <t>$I$39</t>
  </si>
  <si>
    <t xml:space="preserve"> -cw_map(CONCATENATE("BR:",I$3),"TMA-&gt;"&amp;$C39)</t>
  </si>
  <si>
    <t>$J$39</t>
  </si>
  <si>
    <t xml:space="preserve"> -cw_map(CONCATENATE("BR:",J$3),"TMA-&gt;"&amp;$C39)</t>
  </si>
  <si>
    <t>$K$39</t>
  </si>
  <si>
    <t xml:space="preserve"> -cw_map(CONCATENATE("BR:",K$3),"TMA-&gt;"&amp;$C39)</t>
  </si>
  <si>
    <t>$L$39</t>
  </si>
  <si>
    <t xml:space="preserve"> -cw_map(CONCATENATE("BR:",L$3),"TMA-&gt;"&amp;$C39)</t>
  </si>
  <si>
    <t>$M$39</t>
  </si>
  <si>
    <t xml:space="preserve"> -cw_map(CONCATENATE("BR:",M$3),"TMA-&gt;"&amp;$C39)</t>
  </si>
  <si>
    <t>$I$65</t>
  </si>
  <si>
    <t xml:space="preserve"> -cw_map(CONCATENATE("BR:",I$3),"GA-&gt;"&amp;$C65)</t>
  </si>
  <si>
    <t>$J$65</t>
  </si>
  <si>
    <t xml:space="preserve"> -cw_map(CONCATENATE("BR:",J$3),"GA-&gt;"&amp;$C65)</t>
  </si>
  <si>
    <t>$K$65</t>
  </si>
  <si>
    <t xml:space="preserve"> -cw_map(CONCATENATE("BR:",K$3),"GA-&gt;"&amp;$C65)</t>
  </si>
  <si>
    <t>$L$65</t>
  </si>
  <si>
    <t xml:space="preserve"> -cw_map(CONCATENATE("BR:",L$3),"GA-&gt;"&amp;$C65)</t>
  </si>
  <si>
    <t>$M$65</t>
  </si>
  <si>
    <t xml:space="preserve"> -cw_map(CONCATENATE("BR:",M$3),"GA-&gt;"&amp;$C65)</t>
  </si>
  <si>
    <t>$I$66</t>
  </si>
  <si>
    <t xml:space="preserve"> -cw_map(CONCATENATE("BR:",I$3),"GA-&gt;"&amp;$C66)</t>
  </si>
  <si>
    <t>$J$66</t>
  </si>
  <si>
    <t xml:space="preserve"> -cw_map(CONCATENATE("BR:",J$3),"GA-&gt;"&amp;$C66)</t>
  </si>
  <si>
    <t>$K$66</t>
  </si>
  <si>
    <t xml:space="preserve"> -cw_map(CONCATENATE("BR:",K$3),"GA-&gt;"&amp;$C66)</t>
  </si>
  <si>
    <t>$L$66</t>
  </si>
  <si>
    <t xml:space="preserve"> -cw_map(CONCATENATE("BR:",L$3),"GA-&gt;"&amp;$C66)</t>
  </si>
  <si>
    <t>$M$66</t>
  </si>
  <si>
    <t xml:space="preserve"> -cw_map(CONCATENATE("BR:",M$3),"GA-&gt;"&amp;$C66)</t>
  </si>
  <si>
    <t>$I$67</t>
  </si>
  <si>
    <t xml:space="preserve"> -cw_map(CONCATENATE("BR:",I$3),"GA-&gt;"&amp;$C67)</t>
  </si>
  <si>
    <t>$J$67</t>
  </si>
  <si>
    <t xml:space="preserve"> -cw_map(CONCATENATE("BR:",J$3),"GA-&gt;"&amp;$C67)</t>
  </si>
  <si>
    <t>$K$67</t>
  </si>
  <si>
    <t xml:space="preserve"> -cw_map(CONCATENATE("BR:",K$3),"GA-&gt;"&amp;$C67)</t>
  </si>
  <si>
    <t>$L$67</t>
  </si>
  <si>
    <t xml:space="preserve"> -cw_map(CONCATENATE("BR:",L$3),"GA-&gt;"&amp;$C67)</t>
  </si>
  <si>
    <t>$M$67</t>
  </si>
  <si>
    <t xml:space="preserve"> -cw_map(CONCATENATE("BR:",M$3),"GA-&gt;"&amp;$C67)</t>
  </si>
  <si>
    <t>$I$69</t>
  </si>
  <si>
    <t xml:space="preserve"> -cw_map(CONCATENATE("BR:",I$3),"GA-&gt;"&amp;$C69)</t>
  </si>
  <si>
    <t>$J$69</t>
  </si>
  <si>
    <t xml:space="preserve"> -cw_map(CONCATENATE("BR:",J$3),"GA-&gt;"&amp;$C69)</t>
  </si>
  <si>
    <t>$K$69</t>
  </si>
  <si>
    <t xml:space="preserve"> -cw_map(CONCATENATE("BR:",K$3),"GA-&gt;"&amp;$C69)</t>
  </si>
  <si>
    <t>$L$69</t>
  </si>
  <si>
    <t xml:space="preserve"> -cw_map(CONCATENATE("BR:",L$3),"GA-&gt;"&amp;$C69)</t>
  </si>
  <si>
    <t>$M$69</t>
  </si>
  <si>
    <t xml:space="preserve"> -cw_map(CONCATENATE("BR:",M$3),"GA-&gt;"&amp;$C69)</t>
  </si>
  <si>
    <t>$I$70</t>
  </si>
  <si>
    <t xml:space="preserve"> -cw_map(CONCATENATE("BR:",I$3),"GA-&gt;"&amp;$C70)</t>
  </si>
  <si>
    <t>$J$70</t>
  </si>
  <si>
    <t xml:space="preserve"> -cw_map(CONCATENATE("BR:",J$3),"GA-&gt;"&amp;$C70)</t>
  </si>
  <si>
    <t>$K$70</t>
  </si>
  <si>
    <t xml:space="preserve"> -cw_map(CONCATENATE("BR:",K$3),"GA-&gt;"&amp;$C70)</t>
  </si>
  <si>
    <t>$L$70</t>
  </si>
  <si>
    <t xml:space="preserve"> -cw_map(CONCATENATE("BR:",L$3),"GA-&gt;"&amp;$C70)</t>
  </si>
  <si>
    <t>$M$70</t>
  </si>
  <si>
    <t xml:space="preserve"> -cw_map(CONCATENATE("BR:",M$3),"GA-&gt;"&amp;$C70)</t>
  </si>
  <si>
    <t>$I$71</t>
  </si>
  <si>
    <t xml:space="preserve"> -cw_map(CONCATENATE("BR:",I$3),"GA-&gt;"&amp;$C71)</t>
  </si>
  <si>
    <t>$J$71</t>
  </si>
  <si>
    <t xml:space="preserve"> -cw_map(CONCATENATE("BR:",J$3),"GA-&gt;"&amp;$C71)</t>
  </si>
  <si>
    <t>$K$71</t>
  </si>
  <si>
    <t xml:space="preserve"> -cw_map(CONCATENATE("BR:",K$3),"GA-&gt;"&amp;$C71)</t>
  </si>
  <si>
    <t>$L$71</t>
  </si>
  <si>
    <t xml:space="preserve"> -cw_map(CONCATENATE("BR:",L$3),"GA-&gt;"&amp;$C71)</t>
  </si>
  <si>
    <t>$M$71</t>
  </si>
  <si>
    <t xml:space="preserve"> -cw_map(CONCATENATE("BR:",M$3),"GA-&gt;"&amp;$C71)</t>
  </si>
  <si>
    <t>$I$72</t>
  </si>
  <si>
    <t xml:space="preserve"> -cw_map(CONCATENATE("BR:",I$3),"GA-&gt;"&amp;$C72)</t>
  </si>
  <si>
    <t>$J$72</t>
  </si>
  <si>
    <t xml:space="preserve"> -cw_map(CONCATENATE("BR:",J$3),"GA-&gt;"&amp;$C72)</t>
  </si>
  <si>
    <t>$K$72</t>
  </si>
  <si>
    <t xml:space="preserve"> -cw_map(CONCATENATE("BR:",K$3),"GA-&gt;"&amp;$C72)</t>
  </si>
  <si>
    <t>$L$72</t>
  </si>
  <si>
    <t xml:space="preserve"> -cw_map(CONCATENATE("BR:",L$3),"GA-&gt;"&amp;$C72)</t>
  </si>
  <si>
    <t>$M$72</t>
  </si>
  <si>
    <t xml:space="preserve"> -cw_map(CONCATENATE("BR:",M$3),"GA-&gt;"&amp;$C72)</t>
  </si>
  <si>
    <t>$I$93</t>
  </si>
  <si>
    <t xml:space="preserve"> -cw_map(CONCATENATE("BR:",I$3),"TMA-&gt;"&amp;$C93)</t>
  </si>
  <si>
    <t>$J$93</t>
  </si>
  <si>
    <t xml:space="preserve"> -cw_map(CONCATENATE("BR:",J$3),"TMA-&gt;"&amp;$C93)</t>
  </si>
  <si>
    <t>$K$93</t>
  </si>
  <si>
    <t xml:space="preserve"> -cw_map(CONCATENATE("BR:",K$3),"TMA-&gt;"&amp;$C93)</t>
  </si>
  <si>
    <t>$L$93</t>
  </si>
  <si>
    <t xml:space="preserve"> -cw_map(CONCATENATE("BR:",L$3),"TMA-&gt;"&amp;$C93)</t>
  </si>
  <si>
    <t>$M$93</t>
  </si>
  <si>
    <t xml:space="preserve"> -cw_map(CONCATENATE("BR:",M$3),"TMA-&gt;"&amp;$C93)</t>
  </si>
  <si>
    <t>$I$94</t>
  </si>
  <si>
    <t xml:space="preserve"> -cw_map(CONCATENATE("BR:",I$3),"TMA-&gt;"&amp;$C94)</t>
  </si>
  <si>
    <t>$J$94</t>
  </si>
  <si>
    <t xml:space="preserve"> -cw_map(CONCATENATE("BR:",J$3),"TMA-&gt;"&amp;$C94)</t>
  </si>
  <si>
    <t>$K$94</t>
  </si>
  <si>
    <t xml:space="preserve"> -cw_map(CONCATENATE("BR:",K$3),"TMA-&gt;"&amp;$C94)</t>
  </si>
  <si>
    <t>$L$94</t>
  </si>
  <si>
    <t xml:space="preserve"> -cw_map(CONCATENATE("BR:",L$3),"TMA-&gt;"&amp;$C94)</t>
  </si>
  <si>
    <t>$M$94</t>
  </si>
  <si>
    <t xml:space="preserve"> -cw_map(CONCATENATE("BR:",M$3),"TMA-&gt;"&amp;$C94)</t>
  </si>
  <si>
    <t>$I$95</t>
  </si>
  <si>
    <t xml:space="preserve"> -cw_map(CONCATENATE("BR:",I$3),"TMA-&gt;"&amp;$C95)</t>
  </si>
  <si>
    <t>$J$95</t>
  </si>
  <si>
    <t xml:space="preserve"> -cw_map(CONCATENATE("BR:",J$3),"TMA-&gt;"&amp;$C95)</t>
  </si>
  <si>
    <t>$K$95</t>
  </si>
  <si>
    <t xml:space="preserve"> -cw_map(CONCATENATE("BR:",K$3),"TMA-&gt;"&amp;$C95)</t>
  </si>
  <si>
    <t>$L$95</t>
  </si>
  <si>
    <t xml:space="preserve"> -cw_map(CONCATENATE("BR:",L$3),"TMA-&gt;"&amp;$C95)</t>
  </si>
  <si>
    <t>$M$95</t>
  </si>
  <si>
    <t xml:space="preserve"> -cw_map(CONCATENATE("BR:",M$3),"TMA-&gt;"&amp;$C95)</t>
  </si>
  <si>
    <t>$I$96</t>
  </si>
  <si>
    <t xml:space="preserve"> -cw_map(CONCATENATE("BR:",I$3),"TMA-&gt;"&amp;$C96)</t>
  </si>
  <si>
    <t>$J$96</t>
  </si>
  <si>
    <t xml:space="preserve"> -cw_map(CONCATENATE("BR:",J$3),"TMA-&gt;"&amp;$C96)</t>
  </si>
  <si>
    <t>$K$96</t>
  </si>
  <si>
    <t xml:space="preserve"> -cw_map(CONCATENATE("BR:",K$3),"TMA-&gt;"&amp;$C96)</t>
  </si>
  <si>
    <t>$L$96</t>
  </si>
  <si>
    <t xml:space="preserve"> -cw_map(CONCATENATE("BR:",L$3),"TMA-&gt;"&amp;$C96)</t>
  </si>
  <si>
    <t>$M$96</t>
  </si>
  <si>
    <t xml:space="preserve"> -cw_map(CONCATENATE("BR:",M$3),"TMA-&gt;"&amp;$C96)</t>
  </si>
  <si>
    <t>$I$100</t>
  </si>
  <si>
    <t xml:space="preserve"> -cw_map(CONCATENATE("BR:",I$3),"TMA-&gt;"&amp;$C100)</t>
  </si>
  <si>
    <t>$J$100</t>
  </si>
  <si>
    <t xml:space="preserve"> -cw_map(CONCATENATE("BR:",J$3),"TMA-&gt;"&amp;$C100)</t>
  </si>
  <si>
    <t>$K$100</t>
  </si>
  <si>
    <t xml:space="preserve"> -cw_map(CONCATENATE("BR:",K$3),"TMA-&gt;"&amp;$C100)</t>
  </si>
  <si>
    <t>$L$100</t>
  </si>
  <si>
    <t xml:space="preserve"> -cw_map(CONCATENATE("BR:",L$3),"TMA-&gt;"&amp;$C100)</t>
  </si>
  <si>
    <t>$M$100</t>
  </si>
  <si>
    <t xml:space="preserve"> -cw_map(CONCATENATE("BR:",M$3),"TMA-&gt;"&amp;$C100)</t>
  </si>
  <si>
    <t>$I$101</t>
  </si>
  <si>
    <t xml:space="preserve"> -cw_map(CONCATENATE("BR:",I$3),"TMA-&gt;"&amp;$C101)</t>
  </si>
  <si>
    <t>$J$101</t>
  </si>
  <si>
    <t xml:space="preserve"> -cw_map(CONCATENATE("BR:",J$3),"TMA-&gt;"&amp;$C101)</t>
  </si>
  <si>
    <t>$K$101</t>
  </si>
  <si>
    <t xml:space="preserve"> -cw_map(CONCATENATE("BR:",K$3),"TMA-&gt;"&amp;$C101)</t>
  </si>
  <si>
    <t>$L$101</t>
  </si>
  <si>
    <t xml:space="preserve"> -cw_map(CONCATENATE("BR:",L$3),"TMA-&gt;"&amp;$C101)</t>
  </si>
  <si>
    <t>$M$101</t>
  </si>
  <si>
    <t xml:space="preserve"> -cw_map(CONCATENATE("BR:",M$3),"TMA-&gt;"&amp;$C101)</t>
  </si>
  <si>
    <t>$I$106</t>
  </si>
  <si>
    <t xml:space="preserve"> -cw_map(CONCATENATE("BR:",I$3),"TMA-&gt;"&amp;$C106)</t>
  </si>
  <si>
    <t>$J$106</t>
  </si>
  <si>
    <t xml:space="preserve"> -cw_map(CONCATENATE("BR:",J$3),"TMA-&gt;"&amp;$C106)</t>
  </si>
  <si>
    <t>$K$106</t>
  </si>
  <si>
    <t xml:space="preserve"> -cw_map(CONCATENATE("BR:",K$3),"TMA-&gt;"&amp;$C106)</t>
  </si>
  <si>
    <t>$L$106</t>
  </si>
  <si>
    <t xml:space="preserve"> -cw_map(CONCATENATE("BR:",L$3),"TMA-&gt;"&amp;$C106)</t>
  </si>
  <si>
    <t>$M$106</t>
  </si>
  <si>
    <t xml:space="preserve"> -cw_map(CONCATENATE("BR:",M$3),"TMA-&gt;"&amp;$C106)</t>
  </si>
  <si>
    <t>$I$107</t>
  </si>
  <si>
    <t xml:space="preserve"> -cw_map(CONCATENATE("BR:",I$3),"TMA-&gt;"&amp;$C107)</t>
  </si>
  <si>
    <t>$J$107</t>
  </si>
  <si>
    <t xml:space="preserve"> -cw_map(CONCATENATE("BR:",J$3),"TMA-&gt;"&amp;$C107)</t>
  </si>
  <si>
    <t>$K$107</t>
  </si>
  <si>
    <t xml:space="preserve"> -cw_map(CONCATENATE("BR:",K$3),"TMA-&gt;"&amp;$C107)</t>
  </si>
  <si>
    <t>$L$107</t>
  </si>
  <si>
    <t xml:space="preserve"> -cw_map(CONCATENATE("BR:",L$3),"TMA-&gt;"&amp;$C107)</t>
  </si>
  <si>
    <t>$M$107</t>
  </si>
  <si>
    <t xml:space="preserve"> -cw_map(CONCATENATE("BR:",M$3),"TMA-&gt;"&amp;$C107)</t>
  </si>
  <si>
    <t>$I$108</t>
  </si>
  <si>
    <t xml:space="preserve"> -cw_map(CONCATENATE("BR:",I$3),"TMA-&gt;"&amp;$C108)</t>
  </si>
  <si>
    <t>$J$108</t>
  </si>
  <si>
    <t xml:space="preserve"> -cw_map(CONCATENATE("BR:",J$3),"TMA-&gt;"&amp;$C108)</t>
  </si>
  <si>
    <t>$K$108</t>
  </si>
  <si>
    <t xml:space="preserve"> -cw_map(CONCATENATE("BR:",K$3),"TMA-&gt;"&amp;$C108)</t>
  </si>
  <si>
    <t>$L$108</t>
  </si>
  <si>
    <t xml:space="preserve"> -cw_map(CONCATENATE("BR:",L$3),"TMA-&gt;"&amp;$C108)</t>
  </si>
  <si>
    <t>$M$108</t>
  </si>
  <si>
    <t xml:space="preserve"> -cw_map(CONCATENATE("BR:",M$3),"TMA-&gt;"&amp;$C108)</t>
  </si>
  <si>
    <t>$I$109</t>
  </si>
  <si>
    <t xml:space="preserve"> -cw_map(CONCATENATE("BR:",I$3),"TMA-&gt;"&amp;$C109)</t>
  </si>
  <si>
    <t>$J$109</t>
  </si>
  <si>
    <t xml:space="preserve"> -cw_map(CONCATENATE("BR:",J$3),"TMA-&gt;"&amp;$C109)</t>
  </si>
  <si>
    <t>$K$109</t>
  </si>
  <si>
    <t xml:space="preserve"> -cw_map(CONCATENATE("BR:",K$3),"TMA-&gt;"&amp;$C109)</t>
  </si>
  <si>
    <t>$L$109</t>
  </si>
  <si>
    <t xml:space="preserve"> -cw_map(CONCATENATE("BR:",L$3),"TMA-&gt;"&amp;$C109)</t>
  </si>
  <si>
    <t>$M$109</t>
  </si>
  <si>
    <t xml:space="preserve"> -cw_map(CONCATENATE("BR:",M$3),"TMA-&gt;"&amp;$C109)</t>
  </si>
  <si>
    <t>$I$110</t>
  </si>
  <si>
    <t xml:space="preserve"> -cw_map(CONCATENATE("BR:",I$3),"TMA-&gt;"&amp;$C110)</t>
  </si>
  <si>
    <t>$J$110</t>
  </si>
  <si>
    <t xml:space="preserve"> -cw_map(CONCATENATE("BR:",J$3),"TMA-&gt;"&amp;$C110)</t>
  </si>
  <si>
    <t>$K$110</t>
  </si>
  <si>
    <t xml:space="preserve"> -cw_map(CONCATENATE("BR:",K$3),"TMA-&gt;"&amp;$C110)</t>
  </si>
  <si>
    <t>$L$110</t>
  </si>
  <si>
    <t xml:space="preserve"> -cw_map(CONCATENATE("BR:",L$3),"TMA-&gt;"&amp;$C110)</t>
  </si>
  <si>
    <t>$M$110</t>
  </si>
  <si>
    <t xml:space="preserve"> -cw_map(CONCATENATE("BR:",M$3),"TMA-&gt;"&amp;$C110)</t>
  </si>
  <si>
    <t>$I$113</t>
  </si>
  <si>
    <t xml:space="preserve"> -cw_map(CONCATENATE("BR:",I$3),"TMA-&gt;"&amp;$C113)</t>
  </si>
  <si>
    <t>$J$113</t>
  </si>
  <si>
    <t xml:space="preserve"> -cw_map(CONCATENATE("BR:",J$3),"TMA-&gt;"&amp;$C113)</t>
  </si>
  <si>
    <t>$K$113</t>
  </si>
  <si>
    <t xml:space="preserve"> -cw_map(CONCATENATE("BR:",K$3),"TMA-&gt;"&amp;$C113)</t>
  </si>
  <si>
    <t>$L$113</t>
  </si>
  <si>
    <t xml:space="preserve"> -cw_map(CONCATENATE("BR:",L$3),"TMA-&gt;"&amp;$C113)</t>
  </si>
  <si>
    <t>$M$113</t>
  </si>
  <si>
    <t xml:space="preserve"> -cw_map(CONCATENATE("BR:",M$3),"TMA-&gt;"&amp;$C113)</t>
  </si>
  <si>
    <t>$I$114</t>
  </si>
  <si>
    <t xml:space="preserve"> -cw_map(CONCATENATE("BR:",I$3),"TMA-&gt;"&amp;$C114)</t>
  </si>
  <si>
    <t>$J$114</t>
  </si>
  <si>
    <t xml:space="preserve"> -cw_map(CONCATENATE("BR:",J$3),"TMA-&gt;"&amp;$C114)</t>
  </si>
  <si>
    <t>$K$114</t>
  </si>
  <si>
    <t xml:space="preserve"> -cw_map(CONCATENATE("BR:",K$3),"TMA-&gt;"&amp;$C114)</t>
  </si>
  <si>
    <t>$L$114</t>
  </si>
  <si>
    <t xml:space="preserve"> -cw_map(CONCATENATE("BR:",L$3),"TMA-&gt;"&amp;$C114)</t>
  </si>
  <si>
    <t>$M$114</t>
  </si>
  <si>
    <t xml:space="preserve"> -cw_map(CONCATENATE("BR:",M$3),"TMA-&gt;"&amp;$C114)</t>
  </si>
  <si>
    <t>$I$115</t>
  </si>
  <si>
    <t xml:space="preserve"> -cw_map(CONCATENATE("BR:",I$3),"TMA-&gt;"&amp;$C115)</t>
  </si>
  <si>
    <t>$J$115</t>
  </si>
  <si>
    <t xml:space="preserve"> -cw_map(CONCATENATE("BR:",J$3),"TMA-&gt;"&amp;$C115)</t>
  </si>
  <si>
    <t>$K$115</t>
  </si>
  <si>
    <t xml:space="preserve"> -cw_map(CONCATENATE("BR:",K$3),"TMA-&gt;"&amp;$C115)</t>
  </si>
  <si>
    <t>$L$115</t>
  </si>
  <si>
    <t xml:space="preserve"> -cw_map(CONCATENATE("BR:",L$3),"TMA-&gt;"&amp;$C115)</t>
  </si>
  <si>
    <t>$M$115</t>
  </si>
  <si>
    <t xml:space="preserve"> -cw_map(CONCATENATE("BR:",M$3),"TMA-&gt;"&amp;$C115)</t>
  </si>
  <si>
    <t>$I$116</t>
  </si>
  <si>
    <t xml:space="preserve"> -cw_map(CONCATENATE("BR:",I$3),"TMA-&gt;"&amp;$C116)</t>
  </si>
  <si>
    <t>$J$116</t>
  </si>
  <si>
    <t xml:space="preserve"> -cw_map(CONCATENATE("BR:",J$3),"TMA-&gt;"&amp;$C116)</t>
  </si>
  <si>
    <t>$K$116</t>
  </si>
  <si>
    <t xml:space="preserve"> -cw_map(CONCATENATE("BR:",K$3),"TMA-&gt;"&amp;$C116)</t>
  </si>
  <si>
    <t>$L$116</t>
  </si>
  <si>
    <t xml:space="preserve"> -cw_map(CONCATENATE("BR:",L$3),"TMA-&gt;"&amp;$C116)</t>
  </si>
  <si>
    <t>$M$116</t>
  </si>
  <si>
    <t xml:space="preserve"> -cw_map(CONCATENATE("BR:",M$3),"TMA-&gt;"&amp;$C116)</t>
  </si>
  <si>
    <t>$I$117</t>
  </si>
  <si>
    <t xml:space="preserve"> -cw_map(CONCATENATE("BR:",I$3),"TMA-&gt;"&amp;$C117)</t>
  </si>
  <si>
    <t>$J$117</t>
  </si>
  <si>
    <t xml:space="preserve"> -cw_map(CONCATENATE("BR:",J$3),"TMA-&gt;"&amp;$C117)</t>
  </si>
  <si>
    <t>$K$117</t>
  </si>
  <si>
    <t xml:space="preserve"> -cw_map(CONCATENATE("BR:",K$3),"TMA-&gt;"&amp;$C117)</t>
  </si>
  <si>
    <t>$L$117</t>
  </si>
  <si>
    <t xml:space="preserve"> -cw_map(CONCATENATE("BR:",L$3),"TMA-&gt;"&amp;$C117)</t>
  </si>
  <si>
    <t>$M$117</t>
  </si>
  <si>
    <t xml:space="preserve"> -cw_map(CONCATENATE("BR:",M$3),"TMA-&gt;"&amp;$C117)</t>
  </si>
  <si>
    <t xml:space="preserve">For more information on our unit's finances, contact Sandi Wiktorowski, Finance Director at (248) 449-9912 or swiktoro@ci.northville.mi.us. </t>
  </si>
  <si>
    <t>3. Percent funded - compared to the prior actuarial</t>
  </si>
  <si>
    <t>Federal Grants</t>
  </si>
  <si>
    <t>Licenses &amp; Permits</t>
  </si>
  <si>
    <t>Property Taxes</t>
  </si>
  <si>
    <t>Fines &amp; Forfeitures</t>
  </si>
  <si>
    <t>Charges for Services</t>
  </si>
  <si>
    <t>Interest &amp; Rent</t>
  </si>
  <si>
    <t>Other Revenue</t>
  </si>
  <si>
    <t>Sale of Debt or Assets</t>
  </si>
  <si>
    <t>State Revenue &amp; Grants</t>
  </si>
  <si>
    <t>General Government</t>
  </si>
  <si>
    <t>Police &amp; Fire</t>
  </si>
  <si>
    <t>Senior Housing</t>
  </si>
  <si>
    <t>Debt Service</t>
  </si>
  <si>
    <t>Capital Outlay</t>
  </si>
  <si>
    <t>Other Public Works</t>
  </si>
  <si>
    <t>Recreation &amp; Culture</t>
  </si>
  <si>
    <t>Total Expenditures</t>
  </si>
  <si>
    <t>Total Revenue</t>
  </si>
  <si>
    <t>Public Works</t>
  </si>
  <si>
    <t>PY6</t>
  </si>
  <si>
    <t>PY</t>
  </si>
  <si>
    <t>Add'l Contribution to MERS</t>
  </si>
  <si>
    <t>PY7</t>
  </si>
  <si>
    <t>Installment purchase contracts</t>
  </si>
  <si>
    <t>Plan Fiduciary Net Position</t>
  </si>
  <si>
    <t>Total Pension Liability</t>
  </si>
  <si>
    <t>Net Pension Liability</t>
  </si>
  <si>
    <t>Plan Fiduciary Net Position as a % of TPL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</si>
</sst>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0.0%"/>
    <numFmt numFmtId="166" formatCode="_(* #,##0.0000_);_(* \(#,##0.0000\);_(* &quot;-&quot;??_);_(@_)"/>
    <numFmt numFmtId="167" formatCode="_(* #,##0.0_);_(* \(#,##0.0\);_(* &quot;-&quot;_);_(@_)"/>
  </numFmts>
  <fonts count="17" x14ac:knownFonts="1">
    <font>
      <sz val="11"/>
      <color theme="1"/>
      <name val="Calibri"/>
      <family val="2"/>
      <scheme val="minor"/>
    </font>
    <font>
      <b/>
      <sz val="11"/>
      <color indexed="8"/>
      <name val="Arial"/>
      <family val="2"/>
    </font>
    <font>
      <sz val="11"/>
      <color indexed="8"/>
      <name val="Arial"/>
      <family val="2"/>
    </font>
    <font>
      <u/>
      <sz val="11"/>
      <color indexed="8"/>
      <name val="Arial"/>
      <family val="2"/>
    </font>
    <font>
      <b/>
      <sz val="14"/>
      <color indexed="8"/>
      <name val="Arial"/>
      <family val="2"/>
    </font>
    <font>
      <sz val="11"/>
      <color theme="1"/>
      <name val="Calibri"/>
      <family val="2"/>
      <scheme val="minor"/>
    </font>
    <font>
      <b/>
      <sz val="11"/>
      <color theme="1"/>
      <name val="Calibri"/>
      <family val="2"/>
      <scheme val="minor"/>
    </font>
    <font>
      <u val="singleAccounting"/>
      <sz val="11"/>
      <color theme="1"/>
      <name val="Calibri"/>
      <family val="2"/>
      <scheme val="minor"/>
    </font>
    <font>
      <b/>
      <sz val="11"/>
      <color rgb="FF1808E6"/>
      <name val="Calibri"/>
      <family val="2"/>
      <scheme val="minor"/>
    </font>
    <font>
      <u val="doubleAccounting"/>
      <sz val="11"/>
      <color theme="1"/>
      <name val="Calibri"/>
      <family val="2"/>
      <scheme val="minor"/>
    </font>
    <font>
      <b/>
      <u/>
      <sz val="11"/>
      <color theme="1"/>
      <name val="Calibri"/>
      <family val="2"/>
      <scheme val="minor"/>
    </font>
    <font>
      <b/>
      <u val="singleAccounting"/>
      <sz val="11"/>
      <color theme="1"/>
      <name val="Calibri"/>
      <family val="2"/>
      <scheme val="minor"/>
    </font>
    <font>
      <b/>
      <sz val="11"/>
      <color rgb="FF0070C0"/>
      <name val="Calibri"/>
      <family val="2"/>
      <scheme val="minor"/>
    </font>
    <font>
      <sz val="11"/>
      <color theme="0" tint="-0.24994659260841701"/>
      <name val="Calibri"/>
      <family val="2"/>
      <scheme val="minor"/>
    </font>
    <font>
      <sz val="11"/>
      <name val="Calibri"/>
      <family val="2"/>
      <scheme val="minor"/>
    </font>
    <font>
      <u/>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5">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s>
  <cellStyleXfs count="3">
    <xf numFmtId="41" fontId="0" fillId="0" borderId="0"/>
    <xf numFmtId="44" fontId="5" fillId="0" borderId="0" applyFont="0" applyFill="0" applyBorder="0" applyAlignment="0" applyProtection="0"/>
    <xf numFmtId="9" fontId="5" fillId="0" borderId="0" applyFont="0" applyFill="0" applyBorder="0" applyAlignment="0" applyProtection="0"/>
  </cellStyleXfs>
  <cellXfs count="115">
    <xf numFmtId="41" fontId="0" fillId="0" borderId="0" xfId="0"/>
    <xf numFmtId="0" fontId="7" fillId="0" borderId="0" xfId="0" applyNumberFormat="1" applyFont="1" applyAlignment="1">
      <alignment horizontal="center" wrapText="1"/>
    </xf>
    <xf numFmtId="41" fontId="0" fillId="0" borderId="0" xfId="0" applyAlignment="1">
      <alignment horizontal="left" indent="1"/>
    </xf>
    <xf numFmtId="41" fontId="0" fillId="0" borderId="0" xfId="0" applyAlignment="1">
      <alignment horizontal="left" indent="2"/>
    </xf>
    <xf numFmtId="41" fontId="0" fillId="0" borderId="1" xfId="0" applyBorder="1"/>
    <xf numFmtId="41" fontId="0" fillId="0" borderId="2" xfId="0" applyBorder="1"/>
    <xf numFmtId="41" fontId="8" fillId="0" borderId="0" xfId="0" applyFont="1"/>
    <xf numFmtId="0" fontId="7" fillId="0" borderId="0" xfId="0" applyNumberFormat="1" applyFont="1" applyAlignment="1">
      <alignment horizontal="center"/>
    </xf>
    <xf numFmtId="9" fontId="5" fillId="0" borderId="0" xfId="2" applyFont="1"/>
    <xf numFmtId="9" fontId="5" fillId="0" borderId="2" xfId="2" applyFont="1" applyBorder="1"/>
    <xf numFmtId="9" fontId="0" fillId="0" borderId="0" xfId="0" applyNumberFormat="1"/>
    <xf numFmtId="41" fontId="0" fillId="0" borderId="0" xfId="0" applyAlignment="1">
      <alignment horizontal="left"/>
    </xf>
    <xf numFmtId="41" fontId="0" fillId="0" borderId="3" xfId="0" applyBorder="1"/>
    <xf numFmtId="41" fontId="0" fillId="0" borderId="0" xfId="0" applyAlignment="1">
      <alignment horizontal="left" indent="4"/>
    </xf>
    <xf numFmtId="42" fontId="9" fillId="0" borderId="0" xfId="0" applyNumberFormat="1" applyFont="1"/>
    <xf numFmtId="41" fontId="7" fillId="0" borderId="0" xfId="0" applyFont="1"/>
    <xf numFmtId="42" fontId="0" fillId="0" borderId="0" xfId="0" applyNumberFormat="1"/>
    <xf numFmtId="164" fontId="5" fillId="0" borderId="0" xfId="1" applyNumberFormat="1" applyFont="1"/>
    <xf numFmtId="42" fontId="0" fillId="0" borderId="2" xfId="0" applyNumberFormat="1" applyBorder="1"/>
    <xf numFmtId="41" fontId="7" fillId="0" borderId="0" xfId="0" applyFont="1" applyAlignment="1">
      <alignment horizontal="centerContinuous"/>
    </xf>
    <xf numFmtId="41" fontId="6" fillId="0" borderId="0" xfId="0" applyFont="1"/>
    <xf numFmtId="41" fontId="10" fillId="0" borderId="0" xfId="0" applyFont="1"/>
    <xf numFmtId="41" fontId="5" fillId="0" borderId="0" xfId="2" applyNumberFormat="1" applyFont="1"/>
    <xf numFmtId="41" fontId="5" fillId="0" borderId="2" xfId="2" applyNumberFormat="1" applyFont="1" applyBorder="1"/>
    <xf numFmtId="9" fontId="5" fillId="0" borderId="0" xfId="2" applyFont="1" applyAlignment="1">
      <alignment horizontal="right"/>
    </xf>
    <xf numFmtId="41" fontId="0" fillId="2" borderId="0" xfId="0" applyFill="1"/>
    <xf numFmtId="0" fontId="7" fillId="2" borderId="0" xfId="0" applyNumberFormat="1" applyFont="1" applyFill="1" applyAlignment="1">
      <alignment horizontal="center" wrapText="1"/>
    </xf>
    <xf numFmtId="41" fontId="0" fillId="0" borderId="0" xfId="0" applyProtection="1">
      <protection locked="0"/>
    </xf>
    <xf numFmtId="41" fontId="0" fillId="0" borderId="0" xfId="0" applyAlignment="1" applyProtection="1">
      <alignment horizontal="left" indent="2"/>
      <protection locked="0"/>
    </xf>
    <xf numFmtId="41" fontId="0" fillId="0" borderId="0" xfId="0" applyAlignment="1" applyProtection="1">
      <alignment horizontal="left"/>
      <protection locked="0"/>
    </xf>
    <xf numFmtId="41" fontId="0" fillId="0" borderId="0" xfId="0" applyFont="1" applyProtection="1">
      <protection locked="0"/>
    </xf>
    <xf numFmtId="41" fontId="0" fillId="0" borderId="0" xfId="0" applyAlignment="1" applyProtection="1">
      <alignment horizontal="left" indent="3"/>
      <protection locked="0"/>
    </xf>
    <xf numFmtId="41" fontId="10" fillId="0" borderId="0" xfId="0" applyFont="1" applyProtection="1">
      <protection locked="0"/>
    </xf>
    <xf numFmtId="0" fontId="7" fillId="0" borderId="0" xfId="0" applyNumberFormat="1" applyFont="1" applyAlignment="1" applyProtection="1">
      <alignment horizontal="center" wrapText="1"/>
      <protection locked="0"/>
    </xf>
    <xf numFmtId="41" fontId="0" fillId="0" borderId="1" xfId="0" applyBorder="1" applyProtection="1"/>
    <xf numFmtId="41" fontId="0" fillId="3" borderId="0" xfId="0" applyFill="1" applyProtection="1">
      <protection locked="0"/>
    </xf>
    <xf numFmtId="41" fontId="0" fillId="0" borderId="0" xfId="0" applyProtection="1"/>
    <xf numFmtId="41" fontId="0" fillId="3" borderId="0" xfId="0" applyFill="1" applyBorder="1" applyProtection="1">
      <protection locked="0"/>
    </xf>
    <xf numFmtId="41" fontId="0" fillId="0" borderId="0" xfId="0" applyAlignment="1" applyProtection="1">
      <alignment horizontal="left" indent="1"/>
      <protection locked="0"/>
    </xf>
    <xf numFmtId="41" fontId="0" fillId="2" borderId="0" xfId="0" applyFill="1" applyProtection="1">
      <protection locked="0"/>
    </xf>
    <xf numFmtId="0" fontId="7" fillId="3" borderId="0" xfId="0" applyNumberFormat="1" applyFont="1" applyFill="1" applyAlignment="1" applyProtection="1">
      <alignment horizontal="center" wrapText="1"/>
      <protection locked="0"/>
    </xf>
    <xf numFmtId="0" fontId="7" fillId="0" borderId="0" xfId="0" applyNumberFormat="1" applyFont="1" applyAlignment="1" applyProtection="1">
      <alignment horizontal="center" wrapText="1"/>
    </xf>
    <xf numFmtId="41" fontId="11" fillId="0" borderId="0" xfId="0" applyFont="1" applyAlignment="1">
      <alignment horizontal="right"/>
    </xf>
    <xf numFmtId="41" fontId="0" fillId="0" borderId="0" xfId="0" applyAlignment="1">
      <alignment horizontal="right"/>
    </xf>
    <xf numFmtId="41" fontId="10" fillId="0" borderId="0" xfId="0" applyFont="1" applyAlignment="1">
      <alignment horizontal="left"/>
    </xf>
    <xf numFmtId="41" fontId="10" fillId="0" borderId="0" xfId="0" applyFont="1" applyAlignment="1" applyProtection="1">
      <alignment horizontal="left"/>
      <protection locked="0"/>
    </xf>
    <xf numFmtId="41" fontId="12" fillId="0" borderId="0" xfId="0" applyFont="1" applyProtection="1">
      <protection locked="0"/>
    </xf>
    <xf numFmtId="41" fontId="0" fillId="0" borderId="0" xfId="0" applyFill="1"/>
    <xf numFmtId="41" fontId="0" fillId="0" borderId="0" xfId="0" applyFill="1" applyProtection="1">
      <protection locked="0"/>
    </xf>
    <xf numFmtId="41" fontId="0" fillId="0" borderId="0" xfId="0" quotePrefix="1" applyProtection="1">
      <protection locked="0"/>
    </xf>
    <xf numFmtId="41" fontId="0" fillId="3" borderId="0" xfId="0" applyFill="1" applyProtection="1"/>
    <xf numFmtId="5" fontId="13" fillId="0" borderId="0" xfId="0" quotePrefix="1" applyNumberFormat="1" applyFont="1" applyAlignment="1">
      <alignment horizontal="center"/>
    </xf>
    <xf numFmtId="5" fontId="14" fillId="0" borderId="0" xfId="0" quotePrefix="1" applyNumberFormat="1" applyFont="1" applyAlignment="1">
      <alignment horizontal="center"/>
    </xf>
    <xf numFmtId="49" fontId="0" fillId="0" borderId="0" xfId="0" applyNumberFormat="1" applyProtection="1">
      <protection locked="0"/>
    </xf>
    <xf numFmtId="49" fontId="0" fillId="0" borderId="0" xfId="0" applyNumberFormat="1" applyProtection="1"/>
    <xf numFmtId="49" fontId="0" fillId="3" borderId="0" xfId="0" applyNumberFormat="1" applyFill="1" applyBorder="1" applyProtection="1">
      <protection locked="0"/>
    </xf>
    <xf numFmtId="49" fontId="0" fillId="0" borderId="0" xfId="0" applyNumberFormat="1" applyBorder="1" applyProtection="1">
      <protection locked="0"/>
    </xf>
    <xf numFmtId="49" fontId="0" fillId="0" borderId="0" xfId="0" applyNumberFormat="1" applyBorder="1" applyProtection="1"/>
    <xf numFmtId="49" fontId="5" fillId="0" borderId="0" xfId="2" applyNumberFormat="1" applyFont="1" applyBorder="1" applyProtection="1"/>
    <xf numFmtId="49" fontId="0" fillId="0" borderId="0" xfId="0" applyNumberFormat="1" applyFill="1" applyBorder="1" applyProtection="1"/>
    <xf numFmtId="49" fontId="0" fillId="3" borderId="0" xfId="0" applyNumberFormat="1" applyFill="1" applyBorder="1" applyProtection="1"/>
    <xf numFmtId="49" fontId="0" fillId="2" borderId="0" xfId="0" applyNumberFormat="1" applyFill="1" applyBorder="1" applyProtection="1"/>
    <xf numFmtId="49" fontId="7" fillId="2" borderId="0" xfId="0" applyNumberFormat="1" applyFont="1" applyFill="1" applyBorder="1" applyAlignment="1" applyProtection="1">
      <alignment horizontal="center" wrapText="1"/>
      <protection locked="0"/>
    </xf>
    <xf numFmtId="49" fontId="0" fillId="2" borderId="0" xfId="0" applyNumberFormat="1" applyFill="1" applyBorder="1" applyProtection="1">
      <protection locked="0"/>
    </xf>
    <xf numFmtId="41" fontId="7" fillId="0" borderId="0" xfId="0" applyFont="1" applyProtection="1">
      <protection locked="0"/>
    </xf>
    <xf numFmtId="41" fontId="0" fillId="0" borderId="0" xfId="0" applyAlignment="1">
      <alignment horizontal="left" indent="3"/>
    </xf>
    <xf numFmtId="41" fontId="15" fillId="0" borderId="0" xfId="0" applyFont="1"/>
    <xf numFmtId="41" fontId="0" fillId="0" borderId="2" xfId="0" applyFill="1" applyBorder="1"/>
    <xf numFmtId="41" fontId="16" fillId="0" borderId="0" xfId="0" applyFont="1" applyFill="1" applyAlignment="1">
      <alignment horizontal="right"/>
    </xf>
    <xf numFmtId="41" fontId="0" fillId="0" borderId="1" xfId="0" applyFill="1" applyBorder="1" applyProtection="1"/>
    <xf numFmtId="41" fontId="0" fillId="0" borderId="1" xfId="0" applyFill="1" applyBorder="1"/>
    <xf numFmtId="9" fontId="5" fillId="0" borderId="0" xfId="2" applyFont="1" applyFill="1"/>
    <xf numFmtId="41" fontId="0" fillId="0" borderId="0" xfId="0" applyFill="1" applyProtection="1"/>
    <xf numFmtId="41" fontId="0" fillId="0" borderId="3" xfId="0" applyFill="1" applyBorder="1"/>
    <xf numFmtId="0" fontId="7" fillId="0" borderId="0" xfId="0" applyNumberFormat="1" applyFont="1" applyFill="1" applyAlignment="1" applyProtection="1">
      <alignment horizontal="center" wrapText="1"/>
      <protection locked="0"/>
    </xf>
    <xf numFmtId="49" fontId="7" fillId="0" borderId="0" xfId="0" applyNumberFormat="1" applyFont="1" applyFill="1" applyAlignment="1" applyProtection="1">
      <alignment horizontal="center" wrapText="1"/>
      <protection locked="0"/>
    </xf>
    <xf numFmtId="49" fontId="7" fillId="0" borderId="0" xfId="0" applyNumberFormat="1" applyFont="1" applyFill="1" applyAlignment="1" applyProtection="1">
      <alignment horizontal="center" wrapText="1"/>
    </xf>
    <xf numFmtId="49" fontId="0" fillId="0" borderId="0" xfId="0" applyNumberFormat="1" applyFill="1" applyBorder="1" applyProtection="1">
      <protection locked="0"/>
    </xf>
    <xf numFmtId="14" fontId="0" fillId="0" borderId="0" xfId="0" applyNumberFormat="1" applyFill="1"/>
    <xf numFmtId="14" fontId="0" fillId="0" borderId="0" xfId="0" applyNumberFormat="1"/>
    <xf numFmtId="41" fontId="11" fillId="0" borderId="0" xfId="0" applyFont="1"/>
    <xf numFmtId="0" fontId="11" fillId="0" borderId="0" xfId="0" applyNumberFormat="1" applyFont="1" applyFill="1" applyAlignment="1">
      <alignment horizontal="center" wrapText="1"/>
    </xf>
    <xf numFmtId="14" fontId="7" fillId="0" borderId="0" xfId="0" applyNumberFormat="1" applyFont="1" applyFill="1" applyAlignment="1">
      <alignment horizontal="center" wrapText="1"/>
    </xf>
    <xf numFmtId="14" fontId="7" fillId="3" borderId="0" xfId="0" applyNumberFormat="1" applyFont="1" applyFill="1" applyAlignment="1" applyProtection="1">
      <alignment horizontal="center" wrapText="1"/>
      <protection locked="0"/>
    </xf>
    <xf numFmtId="0" fontId="2" fillId="0" borderId="0" xfId="0" applyNumberFormat="1" applyFont="1" applyAlignment="1">
      <alignment horizontal="justify" vertical="justify" wrapText="1" readingOrder="1"/>
    </xf>
    <xf numFmtId="0" fontId="2" fillId="0" borderId="0" xfId="0" applyNumberFormat="1" applyFont="1" applyAlignment="1">
      <alignment vertical="justify" wrapText="1" readingOrder="1"/>
    </xf>
    <xf numFmtId="0" fontId="2" fillId="0" borderId="0" xfId="0" applyNumberFormat="1" applyFont="1" applyAlignment="1">
      <alignment vertical="top" wrapText="1"/>
    </xf>
    <xf numFmtId="0" fontId="2" fillId="0" borderId="0" xfId="0" applyNumberFormat="1" applyFont="1" applyAlignment="1">
      <alignment horizontal="justify" vertical="distributed" wrapText="1" readingOrder="1"/>
    </xf>
    <xf numFmtId="0" fontId="2" fillId="0" borderId="0" xfId="0" applyNumberFormat="1" applyFont="1" applyAlignment="1">
      <alignment horizontal="justify" vertical="justify" wrapText="1"/>
    </xf>
    <xf numFmtId="41" fontId="2" fillId="0" borderId="0" xfId="0" applyFont="1"/>
    <xf numFmtId="0" fontId="2" fillId="0" borderId="0" xfId="0" applyNumberFormat="1" applyFont="1" applyAlignment="1">
      <alignment vertical="top" wrapText="1" readingOrder="1"/>
    </xf>
    <xf numFmtId="41" fontId="4" fillId="0" borderId="0" xfId="0" applyFont="1" applyAlignment="1">
      <alignment horizontal="center"/>
    </xf>
    <xf numFmtId="9" fontId="5" fillId="0" borderId="0" xfId="2" applyFont="1" applyAlignment="1"/>
    <xf numFmtId="41" fontId="0" fillId="3" borderId="0" xfId="0" applyFont="1" applyFill="1" applyProtection="1">
      <protection locked="0"/>
    </xf>
    <xf numFmtId="42" fontId="0" fillId="0" borderId="0" xfId="0" applyNumberFormat="1" applyBorder="1"/>
    <xf numFmtId="9" fontId="5" fillId="0" borderId="0" xfId="2" applyFont="1"/>
    <xf numFmtId="41" fontId="0" fillId="0" borderId="0" xfId="0" applyAlignment="1"/>
    <xf numFmtId="41" fontId="5" fillId="0" borderId="0" xfId="2" applyNumberFormat="1" applyFont="1" applyFill="1" applyBorder="1"/>
    <xf numFmtId="41" fontId="0" fillId="0" borderId="0" xfId="0" applyFill="1" applyBorder="1"/>
    <xf numFmtId="9" fontId="0" fillId="0" borderId="0" xfId="2" applyFont="1"/>
    <xf numFmtId="165" fontId="0" fillId="0" borderId="0" xfId="2" applyNumberFormat="1" applyFont="1"/>
    <xf numFmtId="165" fontId="5" fillId="0" borderId="0" xfId="2" applyNumberFormat="1" applyFont="1" applyFill="1"/>
    <xf numFmtId="10" fontId="0" fillId="0" borderId="0" xfId="2" applyNumberFormat="1" applyFont="1"/>
    <xf numFmtId="41" fontId="0" fillId="0" borderId="0" xfId="0" applyBorder="1"/>
    <xf numFmtId="42" fontId="7" fillId="0" borderId="0" xfId="0" applyNumberFormat="1" applyFont="1"/>
    <xf numFmtId="9" fontId="5" fillId="0" borderId="0" xfId="2" applyNumberFormat="1" applyFont="1" applyAlignment="1">
      <alignment horizontal="right"/>
    </xf>
    <xf numFmtId="41" fontId="0" fillId="0" borderId="4" xfId="0" applyFill="1" applyBorder="1" applyProtection="1">
      <protection locked="0"/>
    </xf>
    <xf numFmtId="10" fontId="5" fillId="0" borderId="0" xfId="2" applyNumberFormat="1" applyFont="1"/>
    <xf numFmtId="166" fontId="0" fillId="0" borderId="0" xfId="0" applyNumberFormat="1"/>
    <xf numFmtId="167" fontId="0" fillId="0" borderId="0" xfId="0" applyNumberFormat="1"/>
    <xf numFmtId="0" fontId="2" fillId="0" borderId="0" xfId="0" applyNumberFormat="1" applyFont="1" applyAlignment="1">
      <alignment horizontal="justify" vertical="justify" wrapText="1" readingOrder="1"/>
    </xf>
    <xf numFmtId="0" fontId="1" fillId="0" borderId="0" xfId="0" applyNumberFormat="1" applyFont="1" applyAlignment="1">
      <alignment horizontal="justify" vertical="justify" wrapText="1" readingOrder="1"/>
    </xf>
    <xf numFmtId="41" fontId="0" fillId="0" borderId="0" xfId="0" applyAlignment="1">
      <alignment wrapText="1" readingOrder="1"/>
    </xf>
    <xf numFmtId="0" fontId="2" fillId="0" borderId="0" xfId="0" applyNumberFormat="1" applyFont="1" applyAlignment="1">
      <alignment vertical="top" wrapText="1" readingOrder="1"/>
    </xf>
    <xf numFmtId="0" fontId="2" fillId="0" borderId="0" xfId="0" applyNumberFormat="1" applyFont="1" applyAlignment="1">
      <alignment horizontal="justify" vertical="justify" wrapText="1"/>
    </xf>
  </cellXfs>
  <cellStyles count="3">
    <cellStyle name="Currency" xfId="1" builtinId="4"/>
    <cellStyle name="Normal" xfId="0" builtinId="0" customBuiltin="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'Data Input'!$B$7:$B$15</c:f>
              <c:strCache>
                <c:ptCount val="9"/>
                <c:pt idx="0">
                  <c:v>Property Taxes</c:v>
                </c:pt>
                <c:pt idx="1">
                  <c:v>Licenses &amp; Permits</c:v>
                </c:pt>
                <c:pt idx="2">
                  <c:v>Federal Grants</c:v>
                </c:pt>
                <c:pt idx="3">
                  <c:v>State Revenue &amp; Grants</c:v>
                </c:pt>
                <c:pt idx="4">
                  <c:v>Charges for Services</c:v>
                </c:pt>
                <c:pt idx="5">
                  <c:v>Fines &amp; Forfeitures</c:v>
                </c:pt>
                <c:pt idx="6">
                  <c:v>Interest &amp; Rent</c:v>
                </c:pt>
                <c:pt idx="7">
                  <c:v>Other Revenue</c:v>
                </c:pt>
                <c:pt idx="8">
                  <c:v>Sale of Debt or Assets</c:v>
                </c:pt>
              </c:strCache>
            </c:strRef>
          </c:cat>
          <c:val>
            <c:numRef>
              <c:f>'Data Input'!$O$7:$O$15</c:f>
              <c:numCache>
                <c:formatCode>_(* #,##0_);_(* \(#,##0\);_(* "-"_);_(@_)</c:formatCode>
                <c:ptCount val="9"/>
                <c:pt idx="0">
                  <c:v>5433778</c:v>
                </c:pt>
                <c:pt idx="1">
                  <c:v>443950</c:v>
                </c:pt>
                <c:pt idx="2">
                  <c:v>19104</c:v>
                </c:pt>
                <c:pt idx="3">
                  <c:v>1019961</c:v>
                </c:pt>
                <c:pt idx="4">
                  <c:v>1019958</c:v>
                </c:pt>
                <c:pt idx="5">
                  <c:v>53921</c:v>
                </c:pt>
                <c:pt idx="6">
                  <c:v>983878</c:v>
                </c:pt>
                <c:pt idx="7">
                  <c:v>687885</c:v>
                </c:pt>
              </c:numCache>
            </c:numRef>
          </c:val>
          <c:extLst>
            <c:ext xmlns:c16="http://schemas.microsoft.com/office/drawing/2014/chart" uri="{C3380CC4-5D6E-409C-BE32-E72D297353CC}">
              <c16:uniqueId val="{00000000-983D-4A83-986E-FE87590605E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161425789518679"/>
          <c:y val="0.13141059290665588"/>
          <c:w val="0.31612970959275427"/>
          <c:h val="0.72436132983377077"/>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79466384805508"/>
          <c:y val="5.0011349932609792E-2"/>
          <c:w val="0.74663488259133981"/>
          <c:h val="0.68399021068312404"/>
        </c:manualLayout>
      </c:layout>
      <c:lineChart>
        <c:grouping val="standard"/>
        <c:varyColors val="0"/>
        <c:ser>
          <c:idx val="0"/>
          <c:order val="0"/>
          <c:tx>
            <c:strRef>
              <c:f>'Data Input'!$B$46</c:f>
              <c:strCache>
                <c:ptCount val="1"/>
                <c:pt idx="0">
                  <c:v>Plan Fiduciary Net Position</c:v>
                </c:pt>
              </c:strCache>
            </c:strRef>
          </c:tx>
          <c:spPr>
            <a:ln w="44450"/>
          </c:spPr>
          <c:cat>
            <c:numRef>
              <c:extLst>
                <c:ext xmlns:c15="http://schemas.microsoft.com/office/drawing/2012/chart" uri="{02D57815-91ED-43cb-92C2-25804820EDAC}">
                  <c15:fullRef>
                    <c15:sqref>'Data Input'!$I$45:$O$45</c15:sqref>
                  </c15:fullRef>
                </c:ext>
              </c:extLst>
              <c:f>'Data Input'!$M$45:$O$45</c:f>
              <c:numCache>
                <c:formatCode>m/d/yyyy</c:formatCode>
                <c:ptCount val="3"/>
                <c:pt idx="0">
                  <c:v>42004</c:v>
                </c:pt>
                <c:pt idx="1">
                  <c:v>42369</c:v>
                </c:pt>
                <c:pt idx="2">
                  <c:v>42735</c:v>
                </c:pt>
              </c:numCache>
            </c:numRef>
          </c:cat>
          <c:val>
            <c:numRef>
              <c:extLst>
                <c:ext xmlns:c15="http://schemas.microsoft.com/office/drawing/2012/chart" uri="{02D57815-91ED-43cb-92C2-25804820EDAC}">
                  <c15:fullRef>
                    <c15:sqref>'Data Input'!$I$46:$O$46</c15:sqref>
                  </c15:fullRef>
                </c:ext>
              </c:extLst>
              <c:f>'Data Input'!$M$46:$O$46</c:f>
              <c:numCache>
                <c:formatCode>_(* #,##0_);_(* \(#,##0\);_(* "-"_);_(@_)</c:formatCode>
                <c:ptCount val="3"/>
                <c:pt idx="0">
                  <c:v>10886450</c:v>
                </c:pt>
                <c:pt idx="1">
                  <c:v>10474839</c:v>
                </c:pt>
                <c:pt idx="2">
                  <c:v>11481583</c:v>
                </c:pt>
              </c:numCache>
            </c:numRef>
          </c:val>
          <c:smooth val="0"/>
          <c:extLst>
            <c:ext xmlns:c16="http://schemas.microsoft.com/office/drawing/2014/chart" uri="{C3380CC4-5D6E-409C-BE32-E72D297353CC}">
              <c16:uniqueId val="{00000000-E965-45EE-BDFB-8EFE142823C5}"/>
            </c:ext>
          </c:extLst>
        </c:ser>
        <c:ser>
          <c:idx val="1"/>
          <c:order val="1"/>
          <c:tx>
            <c:strRef>
              <c:f>'Data Input'!$B$47</c:f>
              <c:strCache>
                <c:ptCount val="1"/>
                <c:pt idx="0">
                  <c:v>Total Pension Liability</c:v>
                </c:pt>
              </c:strCache>
            </c:strRef>
          </c:tx>
          <c:spPr>
            <a:ln w="44450"/>
          </c:spPr>
          <c:cat>
            <c:numRef>
              <c:extLst>
                <c:ext xmlns:c15="http://schemas.microsoft.com/office/drawing/2012/chart" uri="{02D57815-91ED-43cb-92C2-25804820EDAC}">
                  <c15:fullRef>
                    <c15:sqref>'Data Input'!$I$45:$O$45</c15:sqref>
                  </c15:fullRef>
                </c:ext>
              </c:extLst>
              <c:f>'Data Input'!$M$45:$O$45</c:f>
              <c:numCache>
                <c:formatCode>m/d/yyyy</c:formatCode>
                <c:ptCount val="3"/>
                <c:pt idx="0">
                  <c:v>42004</c:v>
                </c:pt>
                <c:pt idx="1">
                  <c:v>42369</c:v>
                </c:pt>
                <c:pt idx="2">
                  <c:v>42735</c:v>
                </c:pt>
              </c:numCache>
            </c:numRef>
          </c:cat>
          <c:val>
            <c:numRef>
              <c:extLst>
                <c:ext xmlns:c15="http://schemas.microsoft.com/office/drawing/2012/chart" uri="{02D57815-91ED-43cb-92C2-25804820EDAC}">
                  <c15:fullRef>
                    <c15:sqref>'Data Input'!$I$47:$O$47</c15:sqref>
                  </c15:fullRef>
                </c:ext>
              </c:extLst>
              <c:f>'Data Input'!$M$47:$O$47</c:f>
              <c:numCache>
                <c:formatCode>_(* #,##0_);_(* \(#,##0\);_(* "-"_);_(@_)</c:formatCode>
                <c:ptCount val="3"/>
                <c:pt idx="0">
                  <c:v>19126558</c:v>
                </c:pt>
                <c:pt idx="1">
                  <c:v>20046562</c:v>
                </c:pt>
                <c:pt idx="2">
                  <c:v>19905529</c:v>
                </c:pt>
              </c:numCache>
            </c:numRef>
          </c:val>
          <c:smooth val="0"/>
          <c:extLst>
            <c:ext xmlns:c16="http://schemas.microsoft.com/office/drawing/2014/chart" uri="{C3380CC4-5D6E-409C-BE32-E72D297353CC}">
              <c16:uniqueId val="{00000001-E965-45EE-BDFB-8EFE142823C5}"/>
            </c:ext>
          </c:extLst>
        </c:ser>
        <c:dLbls>
          <c:showLegendKey val="0"/>
          <c:showVal val="0"/>
          <c:showCatName val="0"/>
          <c:showSerName val="0"/>
          <c:showPercent val="0"/>
          <c:showBubbleSize val="0"/>
        </c:dLbls>
        <c:marker val="1"/>
        <c:smooth val="0"/>
        <c:axId val="375867360"/>
        <c:axId val="375868928"/>
      </c:lineChart>
      <c:catAx>
        <c:axId val="375867360"/>
        <c:scaling>
          <c:orientation val="minMax"/>
        </c:scaling>
        <c:delete val="0"/>
        <c:axPos val="b"/>
        <c:numFmt formatCode="[$-409]mmm\-yy;@"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5868928"/>
        <c:crosses val="autoZero"/>
        <c:auto val="0"/>
        <c:lblAlgn val="ctr"/>
        <c:lblOffset val="100"/>
        <c:noMultiLvlLbl val="0"/>
      </c:catAx>
      <c:valAx>
        <c:axId val="375868928"/>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5867360"/>
        <c:crosses val="autoZero"/>
        <c:crossBetween val="between"/>
        <c:dispUnits>
          <c:builtInUnit val="millions"/>
          <c:dispUnitsLbl/>
        </c:dispUnits>
      </c:valAx>
    </c:plotArea>
    <c:legend>
      <c:legendPos val="r"/>
      <c:layout>
        <c:manualLayout>
          <c:xMode val="edge"/>
          <c:yMode val="edge"/>
          <c:x val="0.13432835820895517"/>
          <c:y val="0.87725225225225223"/>
          <c:w val="0.84477611940298569"/>
          <c:h val="0.1126126126126126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90605569185021"/>
          <c:y val="4.9344531933508684E-2"/>
          <c:w val="0.7044939904797346"/>
          <c:h val="0.77066421697288257"/>
        </c:manualLayout>
      </c:layout>
      <c:lineChart>
        <c:grouping val="standard"/>
        <c:varyColors val="0"/>
        <c:ser>
          <c:idx val="0"/>
          <c:order val="0"/>
          <c:tx>
            <c:strRef>
              <c:f>'Data Input'!$B$52</c:f>
              <c:strCache>
                <c:ptCount val="1"/>
                <c:pt idx="0">
                  <c:v>Assets</c:v>
                </c:pt>
              </c:strCache>
            </c:strRef>
          </c:tx>
          <c:spPr>
            <a:ln w="44450"/>
          </c:spPr>
          <c:cat>
            <c:numRef>
              <c:extLst>
                <c:ext xmlns:c15="http://schemas.microsoft.com/office/drawing/2012/chart" uri="{02D57815-91ED-43cb-92C2-25804820EDAC}">
                  <c15:fullRef>
                    <c15:sqref>'Data Input'!$K$51:$O$51</c15:sqref>
                  </c15:fullRef>
                </c:ext>
              </c:extLst>
              <c:f>'Data Input'!$M$51:$O$51</c:f>
              <c:numCache>
                <c:formatCode>m/d/yyyy</c:formatCode>
                <c:ptCount val="3"/>
                <c:pt idx="0">
                  <c:v>41820</c:v>
                </c:pt>
                <c:pt idx="1">
                  <c:v>42369</c:v>
                </c:pt>
                <c:pt idx="2">
                  <c:v>42735</c:v>
                </c:pt>
              </c:numCache>
            </c:numRef>
          </c:cat>
          <c:val>
            <c:numRef>
              <c:extLst>
                <c:ext xmlns:c15="http://schemas.microsoft.com/office/drawing/2012/chart" uri="{02D57815-91ED-43cb-92C2-25804820EDAC}">
                  <c15:fullRef>
                    <c15:sqref>'Data Input'!$K$52:$O$52</c15:sqref>
                  </c15:fullRef>
                </c:ext>
              </c:extLst>
              <c:f>'Data Input'!$M$52:$O$52</c:f>
              <c:numCache>
                <c:formatCode>_(* #,##0_);_(* \(#,##0\);_(* "-"_);_(@_)</c:formatCode>
                <c:ptCount val="3"/>
                <c:pt idx="0">
                  <c:v>6905872</c:v>
                </c:pt>
                <c:pt idx="1">
                  <c:v>7500415</c:v>
                </c:pt>
                <c:pt idx="2">
                  <c:v>8098937</c:v>
                </c:pt>
              </c:numCache>
            </c:numRef>
          </c:val>
          <c:smooth val="0"/>
          <c:extLst>
            <c:ext xmlns:c16="http://schemas.microsoft.com/office/drawing/2014/chart" uri="{C3380CC4-5D6E-409C-BE32-E72D297353CC}">
              <c16:uniqueId val="{00000000-0AAE-4045-9233-B1F372B3CCF4}"/>
            </c:ext>
          </c:extLst>
        </c:ser>
        <c:ser>
          <c:idx val="1"/>
          <c:order val="1"/>
          <c:tx>
            <c:strRef>
              <c:f>'Data Input'!$B$53</c:f>
              <c:strCache>
                <c:ptCount val="1"/>
                <c:pt idx="0">
                  <c:v>Actuarial Liability</c:v>
                </c:pt>
              </c:strCache>
            </c:strRef>
          </c:tx>
          <c:spPr>
            <a:ln w="44450"/>
          </c:spPr>
          <c:cat>
            <c:numRef>
              <c:extLst>
                <c:ext xmlns:c15="http://schemas.microsoft.com/office/drawing/2012/chart" uri="{02D57815-91ED-43cb-92C2-25804820EDAC}">
                  <c15:fullRef>
                    <c15:sqref>'Data Input'!$K$51:$O$51</c15:sqref>
                  </c15:fullRef>
                </c:ext>
              </c:extLst>
              <c:f>'Data Input'!$M$51:$O$51</c:f>
              <c:numCache>
                <c:formatCode>m/d/yyyy</c:formatCode>
                <c:ptCount val="3"/>
                <c:pt idx="0">
                  <c:v>41820</c:v>
                </c:pt>
                <c:pt idx="1">
                  <c:v>42369</c:v>
                </c:pt>
                <c:pt idx="2">
                  <c:v>42735</c:v>
                </c:pt>
              </c:numCache>
            </c:numRef>
          </c:cat>
          <c:val>
            <c:numRef>
              <c:extLst>
                <c:ext xmlns:c15="http://schemas.microsoft.com/office/drawing/2012/chart" uri="{02D57815-91ED-43cb-92C2-25804820EDAC}">
                  <c15:fullRef>
                    <c15:sqref>'Data Input'!$K$53:$O$53</c15:sqref>
                  </c15:fullRef>
                </c:ext>
              </c:extLst>
              <c:f>'Data Input'!$M$53:$O$53</c:f>
              <c:numCache>
                <c:formatCode>_(* #,##0_);_(* \(#,##0\);_(* "-"_);_(@_)</c:formatCode>
                <c:ptCount val="3"/>
                <c:pt idx="0">
                  <c:v>19305113</c:v>
                </c:pt>
                <c:pt idx="1">
                  <c:v>20505136</c:v>
                </c:pt>
                <c:pt idx="2">
                  <c:v>18716200</c:v>
                </c:pt>
              </c:numCache>
            </c:numRef>
          </c:val>
          <c:smooth val="0"/>
          <c:extLst>
            <c:ext xmlns:c16="http://schemas.microsoft.com/office/drawing/2014/chart" uri="{C3380CC4-5D6E-409C-BE32-E72D297353CC}">
              <c16:uniqueId val="{00000001-0AAE-4045-9233-B1F372B3CCF4}"/>
            </c:ext>
          </c:extLst>
        </c:ser>
        <c:dLbls>
          <c:showLegendKey val="0"/>
          <c:showVal val="0"/>
          <c:showCatName val="0"/>
          <c:showSerName val="0"/>
          <c:showPercent val="0"/>
          <c:showBubbleSize val="0"/>
        </c:dLbls>
        <c:marker val="1"/>
        <c:smooth val="0"/>
        <c:axId val="222644912"/>
        <c:axId val="222642560"/>
      </c:lineChart>
      <c:catAx>
        <c:axId val="222644912"/>
        <c:scaling>
          <c:orientation val="minMax"/>
        </c:scaling>
        <c:delete val="0"/>
        <c:axPos val="b"/>
        <c:numFmt formatCode="[$-409]mmm\-yy;@"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2642560"/>
        <c:crosses val="autoZero"/>
        <c:auto val="0"/>
        <c:lblAlgn val="ctr"/>
        <c:lblOffset val="100"/>
        <c:noMultiLvlLbl val="0"/>
      </c:catAx>
      <c:valAx>
        <c:axId val="222642560"/>
        <c:scaling>
          <c:orientation val="minMax"/>
          <c:max val="25000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2644912"/>
        <c:crosses val="autoZero"/>
        <c:crossBetween val="between"/>
        <c:dispUnits>
          <c:builtInUnit val="millions"/>
          <c:dispUnitsLbl/>
        </c:dispUnits>
      </c:valAx>
    </c:plotArea>
    <c:legend>
      <c:legendPos val="r"/>
      <c:layout>
        <c:manualLayout>
          <c:xMode val="edge"/>
          <c:yMode val="edge"/>
          <c:x val="0.128099173553719"/>
          <c:y val="0.91666981627296584"/>
          <c:w val="0.85537190082644621"/>
          <c:h val="7.3333683289588905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58762058830821"/>
          <c:y val="5.8233420822397339E-2"/>
          <c:w val="0.79321136740023346"/>
          <c:h val="0.74153700787401577"/>
        </c:manualLayout>
      </c:layout>
      <c:barChart>
        <c:barDir val="col"/>
        <c:grouping val="stacked"/>
        <c:varyColors val="0"/>
        <c:ser>
          <c:idx val="0"/>
          <c:order val="0"/>
          <c:tx>
            <c:strRef>
              <c:f>'Data Input'!$A$67:$B$67</c:f>
              <c:strCache>
                <c:ptCount val="2"/>
                <c:pt idx="0">
                  <c:v>Structured debt</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Input'!$H$67:$O$67</c:f>
              <c:numCache>
                <c:formatCode>_(* #,##0_);_(* \(#,##0\);_(* "-"_);_(@_)</c:formatCode>
                <c:ptCount val="8"/>
                <c:pt idx="0">
                  <c:v>3100000</c:v>
                </c:pt>
                <c:pt idx="1">
                  <c:v>2895000</c:v>
                </c:pt>
                <c:pt idx="2">
                  <c:v>2675000</c:v>
                </c:pt>
                <c:pt idx="3">
                  <c:v>2525000</c:v>
                </c:pt>
                <c:pt idx="4">
                  <c:v>2365000</c:v>
                </c:pt>
                <c:pt idx="5">
                  <c:v>2165000</c:v>
                </c:pt>
                <c:pt idx="6">
                  <c:v>2417596</c:v>
                </c:pt>
                <c:pt idx="7">
                  <c:v>2167000</c:v>
                </c:pt>
              </c:numCache>
            </c:numRef>
          </c:val>
          <c:extLst>
            <c:ext xmlns:c16="http://schemas.microsoft.com/office/drawing/2014/chart" uri="{C3380CC4-5D6E-409C-BE32-E72D297353CC}">
              <c16:uniqueId val="{00000000-A6D2-49AE-9948-66D64188A78D}"/>
            </c:ext>
          </c:extLst>
        </c:ser>
        <c:ser>
          <c:idx val="1"/>
          <c:order val="1"/>
          <c:tx>
            <c:strRef>
              <c:f>'Data Input'!$A$68:$B$68</c:f>
              <c:strCache>
                <c:ptCount val="2"/>
                <c:pt idx="0">
                  <c:v>Employee compensated absences</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Input'!$H$68:$O$68</c:f>
              <c:numCache>
                <c:formatCode>_(* #,##0_);_(* \(#,##0\);_(* "-"_);_(@_)</c:formatCode>
                <c:ptCount val="8"/>
                <c:pt idx="0">
                  <c:v>500556</c:v>
                </c:pt>
                <c:pt idx="1">
                  <c:v>541756</c:v>
                </c:pt>
                <c:pt idx="2">
                  <c:v>495832</c:v>
                </c:pt>
                <c:pt idx="3">
                  <c:v>485328</c:v>
                </c:pt>
                <c:pt idx="4">
                  <c:v>473366</c:v>
                </c:pt>
                <c:pt idx="5">
                  <c:v>516553</c:v>
                </c:pt>
                <c:pt idx="6">
                  <c:v>528134</c:v>
                </c:pt>
                <c:pt idx="7">
                  <c:v>525757</c:v>
                </c:pt>
              </c:numCache>
            </c:numRef>
          </c:val>
          <c:extLst>
            <c:ext xmlns:c16="http://schemas.microsoft.com/office/drawing/2014/chart" uri="{C3380CC4-5D6E-409C-BE32-E72D297353CC}">
              <c16:uniqueId val="{00000001-A6D2-49AE-9948-66D64188A78D}"/>
            </c:ext>
          </c:extLst>
        </c:ser>
        <c:ser>
          <c:idx val="2"/>
          <c:order val="2"/>
          <c:tx>
            <c:strRef>
              <c:f>'Data Input'!$A$69:$B$69</c:f>
              <c:strCache>
                <c:ptCount val="2"/>
                <c:pt idx="0">
                  <c:v>Landfill closure &amp; postclosure care</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Input'!$E$69:$N$69</c:f>
            </c:numRef>
          </c:val>
          <c:extLst>
            <c:ext xmlns:c16="http://schemas.microsoft.com/office/drawing/2014/chart" uri="{C3380CC4-5D6E-409C-BE32-E72D297353CC}">
              <c16:uniqueId val="{00000002-A6D2-49AE-9948-66D64188A78D}"/>
            </c:ext>
          </c:extLst>
        </c:ser>
        <c:ser>
          <c:idx val="3"/>
          <c:order val="3"/>
          <c:tx>
            <c:strRef>
              <c:f>'Data Input'!$A$70:$B$70</c:f>
              <c:strCache>
                <c:ptCount val="2"/>
                <c:pt idx="0">
                  <c:v>Uninsured losses</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Input'!$E$70:$N$70</c:f>
            </c:numRef>
          </c:val>
          <c:extLst>
            <c:ext xmlns:c16="http://schemas.microsoft.com/office/drawing/2014/chart" uri="{C3380CC4-5D6E-409C-BE32-E72D297353CC}">
              <c16:uniqueId val="{00000003-A6D2-49AE-9948-66D64188A78D}"/>
            </c:ext>
          </c:extLst>
        </c:ser>
        <c:ser>
          <c:idx val="4"/>
          <c:order val="4"/>
          <c:tx>
            <c:strRef>
              <c:f>'Data Input'!$A$71:$B$71</c:f>
              <c:strCache>
                <c:ptCount val="2"/>
                <c:pt idx="0">
                  <c:v>Other claims &amp; contingencies</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Input'!$E$71:$N$71</c:f>
            </c:numRef>
          </c:val>
          <c:extLst>
            <c:ext xmlns:c16="http://schemas.microsoft.com/office/drawing/2014/chart" uri="{C3380CC4-5D6E-409C-BE32-E72D297353CC}">
              <c16:uniqueId val="{00000004-A6D2-49AE-9948-66D64188A78D}"/>
            </c:ext>
          </c:extLst>
        </c:ser>
        <c:dLbls>
          <c:showLegendKey val="0"/>
          <c:showVal val="0"/>
          <c:showCatName val="0"/>
          <c:showSerName val="0"/>
          <c:showPercent val="0"/>
          <c:showBubbleSize val="0"/>
        </c:dLbls>
        <c:gapWidth val="150"/>
        <c:overlap val="100"/>
        <c:axId val="222643344"/>
        <c:axId val="222645696"/>
      </c:barChart>
      <c:catAx>
        <c:axId val="2226433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2645696"/>
        <c:crosses val="autoZero"/>
        <c:auto val="1"/>
        <c:lblAlgn val="ctr"/>
        <c:lblOffset val="100"/>
        <c:noMultiLvlLbl val="0"/>
      </c:catAx>
      <c:valAx>
        <c:axId val="222645696"/>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2643344"/>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 Input'!$A$67</c:f>
              <c:strCache>
                <c:ptCount val="1"/>
                <c:pt idx="0">
                  <c:v>Structured debt</c:v>
                </c:pt>
              </c:strCache>
            </c:strRef>
          </c:tx>
          <c:invertIfNegative val="0"/>
          <c:cat>
            <c:numRef>
              <c:f>'Data Input'!$Q$2:$R$2</c:f>
              <c:numCache>
                <c:formatCode>General</c:formatCode>
                <c:ptCount val="2"/>
                <c:pt idx="0">
                  <c:v>2016</c:v>
                </c:pt>
                <c:pt idx="1">
                  <c:v>2017</c:v>
                </c:pt>
              </c:numCache>
            </c:numRef>
          </c:cat>
          <c:val>
            <c:numRef>
              <c:f>'Data Input'!$Q$67:$R$67</c:f>
              <c:numCache>
                <c:formatCode>_(* #,##0_);_(* \(#,##0\);_(* "-"_);_(@_)</c:formatCode>
                <c:ptCount val="2"/>
                <c:pt idx="0">
                  <c:v>404.96</c:v>
                </c:pt>
                <c:pt idx="1">
                  <c:v>362.98</c:v>
                </c:pt>
              </c:numCache>
            </c:numRef>
          </c:val>
          <c:extLst>
            <c:ext xmlns:c16="http://schemas.microsoft.com/office/drawing/2014/chart" uri="{C3380CC4-5D6E-409C-BE32-E72D297353CC}">
              <c16:uniqueId val="{00000000-5771-42A9-9B0E-0729047208C7}"/>
            </c:ext>
          </c:extLst>
        </c:ser>
        <c:ser>
          <c:idx val="1"/>
          <c:order val="1"/>
          <c:tx>
            <c:strRef>
              <c:f>'Data Input'!$A$68</c:f>
              <c:strCache>
                <c:ptCount val="1"/>
                <c:pt idx="0">
                  <c:v>Employee compensated absences</c:v>
                </c:pt>
              </c:strCache>
            </c:strRef>
          </c:tx>
          <c:invertIfNegative val="0"/>
          <c:cat>
            <c:numRef>
              <c:f>'Data Input'!$Q$2:$R$2</c:f>
              <c:numCache>
                <c:formatCode>General</c:formatCode>
                <c:ptCount val="2"/>
                <c:pt idx="0">
                  <c:v>2016</c:v>
                </c:pt>
                <c:pt idx="1">
                  <c:v>2017</c:v>
                </c:pt>
              </c:numCache>
            </c:numRef>
          </c:cat>
          <c:val>
            <c:numRef>
              <c:f>'Data Input'!$Q$68:$R$68</c:f>
              <c:numCache>
                <c:formatCode>_(* #,##0_);_(* \(#,##0\);_(* "-"_);_(@_)</c:formatCode>
                <c:ptCount val="2"/>
                <c:pt idx="0">
                  <c:v>88.46</c:v>
                </c:pt>
                <c:pt idx="1">
                  <c:v>88.07</c:v>
                </c:pt>
              </c:numCache>
            </c:numRef>
          </c:val>
          <c:extLst>
            <c:ext xmlns:c16="http://schemas.microsoft.com/office/drawing/2014/chart" uri="{C3380CC4-5D6E-409C-BE32-E72D297353CC}">
              <c16:uniqueId val="{00000001-5771-42A9-9B0E-0729047208C7}"/>
            </c:ext>
          </c:extLst>
        </c:ser>
        <c:ser>
          <c:idx val="2"/>
          <c:order val="2"/>
          <c:tx>
            <c:strRef>
              <c:f>'Data Input'!$A$69</c:f>
              <c:strCache>
                <c:ptCount val="1"/>
                <c:pt idx="0">
                  <c:v>Landfill closure &amp; postclosure care</c:v>
                </c:pt>
              </c:strCache>
            </c:strRef>
          </c:tx>
          <c:invertIfNegative val="0"/>
          <c:cat>
            <c:numRef>
              <c:f>'Data Input'!$Q$2:$R$2</c:f>
              <c:numCache>
                <c:formatCode>General</c:formatCode>
                <c:ptCount val="2"/>
                <c:pt idx="0">
                  <c:v>2016</c:v>
                </c:pt>
                <c:pt idx="1">
                  <c:v>2017</c:v>
                </c:pt>
              </c:numCache>
            </c:numRef>
          </c:cat>
          <c:val>
            <c:numRef>
              <c:f>'Data Input'!$P$69:$Q$69</c:f>
            </c:numRef>
          </c:val>
          <c:extLst>
            <c:ext xmlns:c16="http://schemas.microsoft.com/office/drawing/2014/chart" uri="{C3380CC4-5D6E-409C-BE32-E72D297353CC}">
              <c16:uniqueId val="{00000002-5771-42A9-9B0E-0729047208C7}"/>
            </c:ext>
          </c:extLst>
        </c:ser>
        <c:ser>
          <c:idx val="3"/>
          <c:order val="3"/>
          <c:tx>
            <c:strRef>
              <c:f>'Data Input'!$A$70</c:f>
              <c:strCache>
                <c:ptCount val="1"/>
                <c:pt idx="0">
                  <c:v>Uninsured losses</c:v>
                </c:pt>
              </c:strCache>
            </c:strRef>
          </c:tx>
          <c:invertIfNegative val="0"/>
          <c:cat>
            <c:numRef>
              <c:f>'Data Input'!$Q$2:$R$2</c:f>
              <c:numCache>
                <c:formatCode>General</c:formatCode>
                <c:ptCount val="2"/>
                <c:pt idx="0">
                  <c:v>2016</c:v>
                </c:pt>
                <c:pt idx="1">
                  <c:v>2017</c:v>
                </c:pt>
              </c:numCache>
            </c:numRef>
          </c:cat>
          <c:val>
            <c:numRef>
              <c:f>'Data Input'!$P$70:$Q$70</c:f>
            </c:numRef>
          </c:val>
          <c:extLst>
            <c:ext xmlns:c16="http://schemas.microsoft.com/office/drawing/2014/chart" uri="{C3380CC4-5D6E-409C-BE32-E72D297353CC}">
              <c16:uniqueId val="{00000003-5771-42A9-9B0E-0729047208C7}"/>
            </c:ext>
          </c:extLst>
        </c:ser>
        <c:ser>
          <c:idx val="4"/>
          <c:order val="4"/>
          <c:tx>
            <c:strRef>
              <c:f>'Data Input'!$A$71</c:f>
              <c:strCache>
                <c:ptCount val="1"/>
                <c:pt idx="0">
                  <c:v>Other claims &amp; contingencies</c:v>
                </c:pt>
              </c:strCache>
            </c:strRef>
          </c:tx>
          <c:invertIfNegative val="0"/>
          <c:cat>
            <c:numRef>
              <c:f>'Data Input'!$Q$2:$R$2</c:f>
              <c:numCache>
                <c:formatCode>General</c:formatCode>
                <c:ptCount val="2"/>
                <c:pt idx="0">
                  <c:v>2016</c:v>
                </c:pt>
                <c:pt idx="1">
                  <c:v>2017</c:v>
                </c:pt>
              </c:numCache>
            </c:numRef>
          </c:cat>
          <c:val>
            <c:numRef>
              <c:f>'Data Input'!$P$71:$Q$71</c:f>
            </c:numRef>
          </c:val>
          <c:extLst>
            <c:ext xmlns:c16="http://schemas.microsoft.com/office/drawing/2014/chart" uri="{C3380CC4-5D6E-409C-BE32-E72D297353CC}">
              <c16:uniqueId val="{00000004-5771-42A9-9B0E-0729047208C7}"/>
            </c:ext>
          </c:extLst>
        </c:ser>
        <c:dLbls>
          <c:showLegendKey val="0"/>
          <c:showVal val="0"/>
          <c:showCatName val="0"/>
          <c:showSerName val="0"/>
          <c:showPercent val="0"/>
          <c:showBubbleSize val="0"/>
        </c:dLbls>
        <c:gapWidth val="150"/>
        <c:overlap val="100"/>
        <c:axId val="222644128"/>
        <c:axId val="223523416"/>
      </c:barChart>
      <c:catAx>
        <c:axId val="2226441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3523416"/>
        <c:crosses val="autoZero"/>
        <c:auto val="1"/>
        <c:lblAlgn val="ctr"/>
        <c:lblOffset val="100"/>
        <c:noMultiLvlLbl val="0"/>
      </c:catAx>
      <c:valAx>
        <c:axId val="223523416"/>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2644128"/>
        <c:crosses val="autoZero"/>
        <c:crossBetween val="between"/>
      </c:valAx>
    </c:plotArea>
    <c:legend>
      <c:legendPos val="r"/>
      <c:layout>
        <c:manualLayout>
          <c:xMode val="edge"/>
          <c:yMode val="edge"/>
          <c:x val="0.67012448132780289"/>
          <c:y val="0.16666736657917774"/>
          <c:w val="0.31742738589211739"/>
          <c:h val="0.6700020997375331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10515041486502"/>
          <c:y val="7.1806107848559064E-2"/>
          <c:w val="0.61329698625174023"/>
          <c:h val="0.72992564892599165"/>
        </c:manualLayout>
      </c:layout>
      <c:barChart>
        <c:barDir val="col"/>
        <c:grouping val="clustered"/>
        <c:varyColors val="0"/>
        <c:ser>
          <c:idx val="0"/>
          <c:order val="0"/>
          <c:tx>
            <c:strRef>
              <c:f>'Data Input'!$N$45</c:f>
              <c:strCache>
                <c:ptCount val="1"/>
                <c:pt idx="0">
                  <c:v>12/31/2015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Input'!$A$44,'Data Input'!$A$50,'Data Input'!$A$56)</c:f>
              <c:strCache>
                <c:ptCount val="3"/>
                <c:pt idx="0">
                  <c:v>Pensions</c:v>
                </c:pt>
                <c:pt idx="1">
                  <c:v>OPEB</c:v>
                </c:pt>
                <c:pt idx="2">
                  <c:v>Sum of all pension &amp; OPEB plans</c:v>
                </c:pt>
              </c:strCache>
            </c:strRef>
          </c:cat>
          <c:val>
            <c:numRef>
              <c:f>'Data Input'!$N$49</c:f>
              <c:numCache>
                <c:formatCode>0%</c:formatCode>
                <c:ptCount val="1"/>
                <c:pt idx="0">
                  <c:v>0.52252545848011245</c:v>
                </c:pt>
              </c:numCache>
            </c:numRef>
          </c:val>
          <c:extLst>
            <c:ext xmlns:c16="http://schemas.microsoft.com/office/drawing/2014/chart" uri="{C3380CC4-5D6E-409C-BE32-E72D297353CC}">
              <c16:uniqueId val="{00000000-5852-459B-9DBC-9E0C9D71518B}"/>
            </c:ext>
          </c:extLst>
        </c:ser>
        <c:ser>
          <c:idx val="1"/>
          <c:order val="1"/>
          <c:tx>
            <c:strRef>
              <c:f>'Data Input'!$O$45</c:f>
              <c:strCache>
                <c:ptCount val="1"/>
                <c:pt idx="0">
                  <c:v>12/31/2016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Input'!$A$44,'Data Input'!$A$50,'Data Input'!$A$56)</c:f>
              <c:strCache>
                <c:ptCount val="3"/>
                <c:pt idx="0">
                  <c:v>Pensions</c:v>
                </c:pt>
                <c:pt idx="1">
                  <c:v>OPEB</c:v>
                </c:pt>
                <c:pt idx="2">
                  <c:v>Sum of all pension &amp; OPEB plans</c:v>
                </c:pt>
              </c:strCache>
            </c:strRef>
          </c:cat>
          <c:val>
            <c:numRef>
              <c:f>'Data Input'!$O$49</c:f>
              <c:numCache>
                <c:formatCode>0%</c:formatCode>
                <c:ptCount val="1"/>
                <c:pt idx="0">
                  <c:v>0.57680371116989659</c:v>
                </c:pt>
              </c:numCache>
            </c:numRef>
          </c:val>
          <c:extLst>
            <c:ext xmlns:c16="http://schemas.microsoft.com/office/drawing/2014/chart" uri="{C3380CC4-5D6E-409C-BE32-E72D297353CC}">
              <c16:uniqueId val="{00000001-5852-459B-9DBC-9E0C9D71518B}"/>
            </c:ext>
          </c:extLst>
        </c:ser>
        <c:dLbls>
          <c:showLegendKey val="0"/>
          <c:showVal val="0"/>
          <c:showCatName val="0"/>
          <c:showSerName val="0"/>
          <c:showPercent val="0"/>
          <c:showBubbleSize val="0"/>
        </c:dLbls>
        <c:gapWidth val="150"/>
        <c:axId val="223522240"/>
        <c:axId val="223523024"/>
      </c:barChart>
      <c:catAx>
        <c:axId val="2235222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3523024"/>
        <c:crosses val="autoZero"/>
        <c:auto val="1"/>
        <c:lblAlgn val="ctr"/>
        <c:lblOffset val="100"/>
        <c:noMultiLvlLbl val="0"/>
      </c:catAx>
      <c:valAx>
        <c:axId val="223523024"/>
        <c:scaling>
          <c:orientation val="minMax"/>
          <c:max val="1"/>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3522240"/>
        <c:crosses val="autoZero"/>
        <c:crossBetween val="between"/>
      </c:valAx>
    </c:plotArea>
    <c:legend>
      <c:legendPos val="r"/>
      <c:layout>
        <c:manualLayout>
          <c:xMode val="edge"/>
          <c:yMode val="edge"/>
          <c:x val="3.0567685589519753E-2"/>
          <c:y val="0.90939738237418488"/>
          <c:w val="0.9213992137445739"/>
          <c:h val="8.0536912751677903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10515041486502"/>
          <c:y val="7.1806107848559064E-2"/>
          <c:w val="0.61329698625174023"/>
          <c:h val="0.72992564892599165"/>
        </c:manualLayout>
      </c:layout>
      <c:barChart>
        <c:barDir val="col"/>
        <c:grouping val="clustered"/>
        <c:varyColors val="0"/>
        <c:ser>
          <c:idx val="1"/>
          <c:order val="0"/>
          <c:tx>
            <c:strRef>
              <c:f>'Data Input'!$N$51</c:f>
              <c:strCache>
                <c:ptCount val="1"/>
                <c:pt idx="0">
                  <c:v>12/31/2015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Input'!$A$50</c:f>
              <c:strCache>
                <c:ptCount val="1"/>
                <c:pt idx="0">
                  <c:v>OPEB</c:v>
                </c:pt>
              </c:strCache>
            </c:strRef>
          </c:cat>
          <c:val>
            <c:numRef>
              <c:f>'Data Input'!$N$55</c:f>
              <c:numCache>
                <c:formatCode>0.0%</c:formatCode>
                <c:ptCount val="1"/>
                <c:pt idx="0">
                  <c:v>0.36578226060046615</c:v>
                </c:pt>
              </c:numCache>
            </c:numRef>
          </c:val>
          <c:extLst>
            <c:ext xmlns:c16="http://schemas.microsoft.com/office/drawing/2014/chart" uri="{C3380CC4-5D6E-409C-BE32-E72D297353CC}">
              <c16:uniqueId val="{00000000-4625-453E-AE83-0603C1AB1BF2}"/>
            </c:ext>
          </c:extLst>
        </c:ser>
        <c:ser>
          <c:idx val="0"/>
          <c:order val="1"/>
          <c:tx>
            <c:strRef>
              <c:f>'Data Input'!$O$51</c:f>
              <c:strCache>
                <c:ptCount val="1"/>
                <c:pt idx="0">
                  <c:v>12/31/2016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val>
            <c:numRef>
              <c:f>'Data Input'!$O$55</c:f>
              <c:numCache>
                <c:formatCode>0.0%</c:formatCode>
                <c:ptCount val="1"/>
                <c:pt idx="0">
                  <c:v>0.43272336264840083</c:v>
                </c:pt>
              </c:numCache>
            </c:numRef>
          </c:val>
          <c:extLst>
            <c:ext xmlns:c16="http://schemas.microsoft.com/office/drawing/2014/chart" uri="{C3380CC4-5D6E-409C-BE32-E72D297353CC}">
              <c16:uniqueId val="{00000002-4625-453E-AE83-0603C1AB1BF2}"/>
            </c:ext>
          </c:extLst>
        </c:ser>
        <c:dLbls>
          <c:showLegendKey val="0"/>
          <c:showVal val="0"/>
          <c:showCatName val="0"/>
          <c:showSerName val="0"/>
          <c:showPercent val="0"/>
          <c:showBubbleSize val="0"/>
        </c:dLbls>
        <c:gapWidth val="150"/>
        <c:axId val="223522632"/>
        <c:axId val="223519888"/>
      </c:barChart>
      <c:catAx>
        <c:axId val="223522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3519888"/>
        <c:crosses val="autoZero"/>
        <c:auto val="1"/>
        <c:lblAlgn val="ctr"/>
        <c:lblOffset val="100"/>
        <c:noMultiLvlLbl val="0"/>
      </c:catAx>
      <c:valAx>
        <c:axId val="223519888"/>
        <c:scaling>
          <c:orientation val="minMax"/>
          <c:max val="1"/>
          <c:min val="0"/>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3522632"/>
        <c:crosses val="autoZero"/>
        <c:crossBetween val="between"/>
      </c:valAx>
    </c:plotArea>
    <c:legend>
      <c:legendPos val="b"/>
      <c:legendEntry>
        <c:idx val="2"/>
        <c:delete val="1"/>
      </c:legendEntry>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Input'!$R$2</c:f>
              <c:strCache>
                <c:ptCount val="1"/>
                <c:pt idx="0">
                  <c:v>2017</c:v>
                </c:pt>
              </c:strCache>
            </c:strRef>
          </c:tx>
          <c:invertIfNegative val="0"/>
          <c:cat>
            <c:strRef>
              <c:f>'Data Input'!$B$7:$B$15</c:f>
              <c:strCache>
                <c:ptCount val="9"/>
                <c:pt idx="0">
                  <c:v>Property Taxes</c:v>
                </c:pt>
                <c:pt idx="1">
                  <c:v>Licenses &amp; Permits</c:v>
                </c:pt>
                <c:pt idx="2">
                  <c:v>Federal Grants</c:v>
                </c:pt>
                <c:pt idx="3">
                  <c:v>State Revenue &amp; Grants</c:v>
                </c:pt>
                <c:pt idx="4">
                  <c:v>Charges for Services</c:v>
                </c:pt>
                <c:pt idx="5">
                  <c:v>Fines &amp; Forfeitures</c:v>
                </c:pt>
                <c:pt idx="6">
                  <c:v>Interest &amp; Rent</c:v>
                </c:pt>
                <c:pt idx="7">
                  <c:v>Other Revenue</c:v>
                </c:pt>
                <c:pt idx="8">
                  <c:v>Sale of Debt or Assets</c:v>
                </c:pt>
              </c:strCache>
            </c:strRef>
          </c:cat>
          <c:val>
            <c:numRef>
              <c:f>'Data Input'!$R$7:$R$15</c:f>
              <c:numCache>
                <c:formatCode>_(* #,##0_);_(* \(#,##0\);_(* "-"_);_(@_)</c:formatCode>
                <c:ptCount val="9"/>
                <c:pt idx="0">
                  <c:v>910.18</c:v>
                </c:pt>
                <c:pt idx="1">
                  <c:v>74.36</c:v>
                </c:pt>
                <c:pt idx="2">
                  <c:v>3.2</c:v>
                </c:pt>
                <c:pt idx="3">
                  <c:v>170.85</c:v>
                </c:pt>
                <c:pt idx="4">
                  <c:v>170.85</c:v>
                </c:pt>
                <c:pt idx="5">
                  <c:v>9.0299999999999994</c:v>
                </c:pt>
                <c:pt idx="6">
                  <c:v>164.8</c:v>
                </c:pt>
                <c:pt idx="7">
                  <c:v>115.22</c:v>
                </c:pt>
                <c:pt idx="8">
                  <c:v>0</c:v>
                </c:pt>
              </c:numCache>
            </c:numRef>
          </c:val>
          <c:extLst>
            <c:ext xmlns:c16="http://schemas.microsoft.com/office/drawing/2014/chart" uri="{C3380CC4-5D6E-409C-BE32-E72D297353CC}">
              <c16:uniqueId val="{00000000-F219-4C01-8F27-79E98D4054C5}"/>
            </c:ext>
          </c:extLst>
        </c:ser>
        <c:ser>
          <c:idx val="1"/>
          <c:order val="1"/>
          <c:tx>
            <c:strRef>
              <c:f>'Data Input'!$Q$2</c:f>
              <c:strCache>
                <c:ptCount val="1"/>
                <c:pt idx="0">
                  <c:v>2016</c:v>
                </c:pt>
              </c:strCache>
            </c:strRef>
          </c:tx>
          <c:invertIfNegative val="0"/>
          <c:cat>
            <c:strRef>
              <c:f>'Data Input'!$B$7:$B$15</c:f>
              <c:strCache>
                <c:ptCount val="9"/>
                <c:pt idx="0">
                  <c:v>Property Taxes</c:v>
                </c:pt>
                <c:pt idx="1">
                  <c:v>Licenses &amp; Permits</c:v>
                </c:pt>
                <c:pt idx="2">
                  <c:v>Federal Grants</c:v>
                </c:pt>
                <c:pt idx="3">
                  <c:v>State Revenue &amp; Grants</c:v>
                </c:pt>
                <c:pt idx="4">
                  <c:v>Charges for Services</c:v>
                </c:pt>
                <c:pt idx="5">
                  <c:v>Fines &amp; Forfeitures</c:v>
                </c:pt>
                <c:pt idx="6">
                  <c:v>Interest &amp; Rent</c:v>
                </c:pt>
                <c:pt idx="7">
                  <c:v>Other Revenue</c:v>
                </c:pt>
                <c:pt idx="8">
                  <c:v>Sale of Debt or Assets</c:v>
                </c:pt>
              </c:strCache>
            </c:strRef>
          </c:cat>
          <c:val>
            <c:numRef>
              <c:f>'Data Input'!$Q$7:$Q$15</c:f>
              <c:numCache>
                <c:formatCode>_(* #,##0_);_(* \(#,##0\);_(* "-"_);_(@_)</c:formatCode>
                <c:ptCount val="9"/>
                <c:pt idx="0">
                  <c:v>890.47</c:v>
                </c:pt>
                <c:pt idx="1">
                  <c:v>72.63</c:v>
                </c:pt>
                <c:pt idx="2">
                  <c:v>0.01</c:v>
                </c:pt>
                <c:pt idx="3">
                  <c:v>170.66</c:v>
                </c:pt>
                <c:pt idx="4">
                  <c:v>143.6</c:v>
                </c:pt>
                <c:pt idx="5">
                  <c:v>11.86</c:v>
                </c:pt>
                <c:pt idx="6">
                  <c:v>196.2</c:v>
                </c:pt>
                <c:pt idx="7">
                  <c:v>172.1</c:v>
                </c:pt>
                <c:pt idx="8">
                  <c:v>0</c:v>
                </c:pt>
              </c:numCache>
            </c:numRef>
          </c:val>
          <c:extLst>
            <c:ext xmlns:c16="http://schemas.microsoft.com/office/drawing/2014/chart" uri="{C3380CC4-5D6E-409C-BE32-E72D297353CC}">
              <c16:uniqueId val="{00000001-F219-4C01-8F27-79E98D4054C5}"/>
            </c:ext>
          </c:extLst>
        </c:ser>
        <c:dLbls>
          <c:showLegendKey val="0"/>
          <c:showVal val="0"/>
          <c:showCatName val="0"/>
          <c:showSerName val="0"/>
          <c:showPercent val="0"/>
          <c:showBubbleSize val="0"/>
        </c:dLbls>
        <c:gapWidth val="150"/>
        <c:axId val="377200112"/>
        <c:axId val="377198152"/>
      </c:barChart>
      <c:catAx>
        <c:axId val="37720011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377198152"/>
        <c:crosses val="autoZero"/>
        <c:auto val="1"/>
        <c:lblAlgn val="ctr"/>
        <c:lblOffset val="100"/>
        <c:noMultiLvlLbl val="0"/>
      </c:catAx>
      <c:valAx>
        <c:axId val="377198152"/>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7200112"/>
        <c:crosses val="autoZero"/>
        <c:crossBetween val="between"/>
      </c:valAx>
    </c:plotArea>
    <c:legend>
      <c:legendPos val="r"/>
      <c:layout>
        <c:manualLayout>
          <c:xMode val="edge"/>
          <c:yMode val="edge"/>
          <c:x val="1.0752688172043012E-2"/>
          <c:y val="0.89000279965004359"/>
          <c:w val="0.22150582790054407"/>
          <c:h val="8.0000349956255767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03679734097171"/>
          <c:y val="0.13010425780110821"/>
          <c:w val="0.80505858571331557"/>
          <c:h val="0.75391586468358607"/>
        </c:manualLayout>
      </c:layout>
      <c:barChart>
        <c:barDir val="col"/>
        <c:grouping val="clustered"/>
        <c:varyColors val="0"/>
        <c:ser>
          <c:idx val="0"/>
          <c:order val="0"/>
          <c:tx>
            <c:strRef>
              <c:f>'Data Input'!$B$86</c:f>
              <c:strCache>
                <c:ptCount val="1"/>
                <c:pt idx="0">
                  <c:v> Property Taxes </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Input'!$H$86:$O$86</c:f>
              <c:numCache>
                <c:formatCode>_(* #,##0_);_(* \(#,##0\);_(* "-"_);_(@_)</c:formatCode>
                <c:ptCount val="8"/>
                <c:pt idx="0">
                  <c:v>5123838</c:v>
                </c:pt>
                <c:pt idx="1">
                  <c:v>4638561</c:v>
                </c:pt>
                <c:pt idx="2">
                  <c:v>4739832</c:v>
                </c:pt>
                <c:pt idx="3">
                  <c:v>4766329</c:v>
                </c:pt>
                <c:pt idx="4">
                  <c:v>4890657</c:v>
                </c:pt>
                <c:pt idx="5">
                  <c:v>5025712</c:v>
                </c:pt>
                <c:pt idx="6">
                  <c:v>5316091</c:v>
                </c:pt>
                <c:pt idx="7">
                  <c:v>5433778</c:v>
                </c:pt>
              </c:numCache>
            </c:numRef>
          </c:val>
          <c:extLst>
            <c:ext xmlns:c16="http://schemas.microsoft.com/office/drawing/2014/chart" uri="{C3380CC4-5D6E-409C-BE32-E72D297353CC}">
              <c16:uniqueId val="{00000000-CBBB-4FD2-8E80-FFBCC13BF4F1}"/>
            </c:ext>
          </c:extLst>
        </c:ser>
        <c:dLbls>
          <c:showLegendKey val="0"/>
          <c:showVal val="0"/>
          <c:showCatName val="0"/>
          <c:showSerName val="0"/>
          <c:showPercent val="0"/>
          <c:showBubbleSize val="0"/>
        </c:dLbls>
        <c:gapWidth val="150"/>
        <c:axId val="501223344"/>
        <c:axId val="501222952"/>
      </c:barChart>
      <c:catAx>
        <c:axId val="5012233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1222952"/>
        <c:crosses val="autoZero"/>
        <c:auto val="1"/>
        <c:lblAlgn val="ctr"/>
        <c:lblOffset val="100"/>
        <c:noMultiLvlLbl val="0"/>
      </c:catAx>
      <c:valAx>
        <c:axId val="501222952"/>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1223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'Data Input'!$B$18:$B$29</c:f>
              <c:strCache>
                <c:ptCount val="7"/>
                <c:pt idx="0">
                  <c:v>General Government</c:v>
                </c:pt>
                <c:pt idx="1">
                  <c:v>Police &amp; Fire</c:v>
                </c:pt>
                <c:pt idx="2">
                  <c:v>Public Works</c:v>
                </c:pt>
                <c:pt idx="3">
                  <c:v>Senior Housing</c:v>
                </c:pt>
                <c:pt idx="4">
                  <c:v>Recreation &amp; Culture</c:v>
                </c:pt>
                <c:pt idx="5">
                  <c:v>Debt Service</c:v>
                </c:pt>
                <c:pt idx="6">
                  <c:v>Add'l Contribution to MERS</c:v>
                </c:pt>
              </c:strCache>
            </c:strRef>
          </c:cat>
          <c:val>
            <c:numRef>
              <c:f>'Data Input'!$O$18:$O$29</c:f>
              <c:numCache>
                <c:formatCode>_(* #,##0_);_(* \(#,##0\);_(* "-"_);_(@_)</c:formatCode>
                <c:ptCount val="7"/>
                <c:pt idx="0">
                  <c:v>1762602</c:v>
                </c:pt>
                <c:pt idx="1">
                  <c:v>3752805</c:v>
                </c:pt>
                <c:pt idx="2">
                  <c:v>2360984</c:v>
                </c:pt>
                <c:pt idx="3">
                  <c:v>1004859</c:v>
                </c:pt>
                <c:pt idx="4">
                  <c:v>353379</c:v>
                </c:pt>
                <c:pt idx="5">
                  <c:v>315760</c:v>
                </c:pt>
                <c:pt idx="6">
                  <c:v>335000</c:v>
                </c:pt>
              </c:numCache>
            </c:numRef>
          </c:val>
          <c:extLst>
            <c:ext xmlns:c16="http://schemas.microsoft.com/office/drawing/2014/chart" uri="{C3380CC4-5D6E-409C-BE32-E72D297353CC}">
              <c16:uniqueId val="{00000000-077D-4F14-845B-DF8466FD8D8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148418148498696"/>
          <c:y val="9.9206765820939208E-2"/>
          <c:w val="0.35038416873082889"/>
          <c:h val="0.7817489480481607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Input'!$Q$2</c:f>
              <c:strCache>
                <c:ptCount val="1"/>
                <c:pt idx="0">
                  <c:v>2016</c:v>
                </c:pt>
              </c:strCache>
            </c:strRef>
          </c:tx>
          <c:invertIfNegative val="0"/>
          <c:cat>
            <c:strRef>
              <c:f>'Data Input'!$B$18:$B$29</c:f>
              <c:strCache>
                <c:ptCount val="7"/>
                <c:pt idx="0">
                  <c:v>General Government</c:v>
                </c:pt>
                <c:pt idx="1">
                  <c:v>Police &amp; Fire</c:v>
                </c:pt>
                <c:pt idx="2">
                  <c:v>Public Works</c:v>
                </c:pt>
                <c:pt idx="3">
                  <c:v>Senior Housing</c:v>
                </c:pt>
                <c:pt idx="4">
                  <c:v>Recreation &amp; Culture</c:v>
                </c:pt>
                <c:pt idx="5">
                  <c:v>Debt Service</c:v>
                </c:pt>
                <c:pt idx="6">
                  <c:v>Add'l Contribution to MERS</c:v>
                </c:pt>
              </c:strCache>
            </c:strRef>
          </c:cat>
          <c:val>
            <c:numRef>
              <c:f>'Data Input'!$Q$18:$Q$29</c:f>
              <c:numCache>
                <c:formatCode>_(* #,##0_);_(* \(#,##0\);_(* "-"_);_(@_)</c:formatCode>
                <c:ptCount val="7"/>
                <c:pt idx="0">
                  <c:v>278.25</c:v>
                </c:pt>
                <c:pt idx="1">
                  <c:v>765.37</c:v>
                </c:pt>
                <c:pt idx="2">
                  <c:v>214.31</c:v>
                </c:pt>
                <c:pt idx="3">
                  <c:v>121.34</c:v>
                </c:pt>
                <c:pt idx="4">
                  <c:v>58.35</c:v>
                </c:pt>
                <c:pt idx="5">
                  <c:v>46.19</c:v>
                </c:pt>
                <c:pt idx="6">
                  <c:v>63.65</c:v>
                </c:pt>
              </c:numCache>
            </c:numRef>
          </c:val>
          <c:extLst>
            <c:ext xmlns:c16="http://schemas.microsoft.com/office/drawing/2014/chart" uri="{C3380CC4-5D6E-409C-BE32-E72D297353CC}">
              <c16:uniqueId val="{00000000-9192-4D5C-BF19-EB99A4F69263}"/>
            </c:ext>
          </c:extLst>
        </c:ser>
        <c:ser>
          <c:idx val="2"/>
          <c:order val="1"/>
          <c:tx>
            <c:strRef>
              <c:f>'Data Input'!$R$2</c:f>
              <c:strCache>
                <c:ptCount val="1"/>
                <c:pt idx="0">
                  <c:v>2017</c:v>
                </c:pt>
              </c:strCache>
            </c:strRef>
          </c:tx>
          <c:invertIfNegative val="0"/>
          <c:cat>
            <c:strRef>
              <c:f>'Data Input'!$B$18:$B$29</c:f>
              <c:strCache>
                <c:ptCount val="7"/>
                <c:pt idx="0">
                  <c:v>General Government</c:v>
                </c:pt>
                <c:pt idx="1">
                  <c:v>Police &amp; Fire</c:v>
                </c:pt>
                <c:pt idx="2">
                  <c:v>Public Works</c:v>
                </c:pt>
                <c:pt idx="3">
                  <c:v>Senior Housing</c:v>
                </c:pt>
                <c:pt idx="4">
                  <c:v>Recreation &amp; Culture</c:v>
                </c:pt>
                <c:pt idx="5">
                  <c:v>Debt Service</c:v>
                </c:pt>
                <c:pt idx="6">
                  <c:v>Add'l Contribution to MERS</c:v>
                </c:pt>
              </c:strCache>
            </c:strRef>
          </c:cat>
          <c:val>
            <c:numRef>
              <c:f>'Data Input'!$R$18:$R$29</c:f>
              <c:numCache>
                <c:formatCode>_(* #,##0_);_(* \(#,##0\);_(* "-"_);_(@_)</c:formatCode>
                <c:ptCount val="7"/>
                <c:pt idx="0">
                  <c:v>295.24</c:v>
                </c:pt>
                <c:pt idx="1">
                  <c:v>628.61</c:v>
                </c:pt>
                <c:pt idx="2">
                  <c:v>395.47</c:v>
                </c:pt>
                <c:pt idx="3">
                  <c:v>168.32</c:v>
                </c:pt>
                <c:pt idx="4">
                  <c:v>59.19</c:v>
                </c:pt>
                <c:pt idx="5">
                  <c:v>52.89</c:v>
                </c:pt>
                <c:pt idx="6">
                  <c:v>56.11</c:v>
                </c:pt>
              </c:numCache>
            </c:numRef>
          </c:val>
          <c:extLst>
            <c:ext xmlns:c16="http://schemas.microsoft.com/office/drawing/2014/chart" uri="{C3380CC4-5D6E-409C-BE32-E72D297353CC}">
              <c16:uniqueId val="{00000001-9192-4D5C-BF19-EB99A4F69263}"/>
            </c:ext>
          </c:extLst>
        </c:ser>
        <c:dLbls>
          <c:showLegendKey val="0"/>
          <c:showVal val="0"/>
          <c:showCatName val="0"/>
          <c:showSerName val="0"/>
          <c:showPercent val="0"/>
          <c:showBubbleSize val="0"/>
        </c:dLbls>
        <c:gapWidth val="150"/>
        <c:axId val="501221776"/>
        <c:axId val="501223736"/>
      </c:barChart>
      <c:catAx>
        <c:axId val="50122177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501223736"/>
        <c:crosses val="autoZero"/>
        <c:auto val="1"/>
        <c:lblAlgn val="ctr"/>
        <c:lblOffset val="100"/>
        <c:noMultiLvlLbl val="0"/>
      </c:catAx>
      <c:valAx>
        <c:axId val="501223736"/>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1221776"/>
        <c:crosses val="autoZero"/>
        <c:crossBetween val="between"/>
      </c:valAx>
    </c:plotArea>
    <c:legend>
      <c:legendPos val="r"/>
      <c:layout>
        <c:manualLayout>
          <c:xMode val="edge"/>
          <c:yMode val="edge"/>
          <c:x val="0.41245177037695308"/>
          <c:y val="0.91061569817739263"/>
          <c:w val="0.20038930931298959"/>
          <c:h val="6.7039106145251437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17530571235674"/>
          <c:y val="0.10529339426977222"/>
          <c:w val="0.81792007734193062"/>
          <c:h val="0.79738083438871032"/>
        </c:manualLayout>
      </c:layout>
      <c:barChart>
        <c:barDir val="col"/>
        <c:grouping val="clustered"/>
        <c:varyColors val="0"/>
        <c:ser>
          <c:idx val="0"/>
          <c:order val="0"/>
          <c:tx>
            <c:strRef>
              <c:f>'Data Input'!$B$88</c:f>
              <c:strCache>
                <c:ptCount val="1"/>
                <c:pt idx="0">
                  <c:v> General Government </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Input'!$H$88:$O$88</c:f>
              <c:numCache>
                <c:formatCode>_(* #,##0_);_(* \(#,##0\);_(* "-"_);_(@_)</c:formatCode>
                <c:ptCount val="8"/>
                <c:pt idx="0">
                  <c:v>2054227</c:v>
                </c:pt>
                <c:pt idx="1">
                  <c:v>1770859</c:v>
                </c:pt>
                <c:pt idx="2">
                  <c:v>1686644</c:v>
                </c:pt>
                <c:pt idx="3">
                  <c:v>1810824</c:v>
                </c:pt>
                <c:pt idx="4">
                  <c:v>2123925</c:v>
                </c:pt>
                <c:pt idx="5">
                  <c:v>2124513</c:v>
                </c:pt>
                <c:pt idx="6">
                  <c:v>2041125</c:v>
                </c:pt>
                <c:pt idx="7">
                  <c:v>2097602</c:v>
                </c:pt>
              </c:numCache>
            </c:numRef>
          </c:val>
          <c:extLst>
            <c:ext xmlns:c16="http://schemas.microsoft.com/office/drawing/2014/chart" uri="{C3380CC4-5D6E-409C-BE32-E72D297353CC}">
              <c16:uniqueId val="{00000000-D031-4620-BF3C-085A8C6F41CA}"/>
            </c:ext>
          </c:extLst>
        </c:ser>
        <c:dLbls>
          <c:showLegendKey val="0"/>
          <c:showVal val="0"/>
          <c:showCatName val="0"/>
          <c:showSerName val="0"/>
          <c:showPercent val="0"/>
          <c:showBubbleSize val="0"/>
        </c:dLbls>
        <c:gapWidth val="150"/>
        <c:axId val="501224520"/>
        <c:axId val="376034704"/>
      </c:barChart>
      <c:catAx>
        <c:axId val="5012245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6034704"/>
        <c:crosses val="autoZero"/>
        <c:auto val="1"/>
        <c:lblAlgn val="ctr"/>
        <c:lblOffset val="100"/>
        <c:noMultiLvlLbl val="0"/>
      </c:catAx>
      <c:valAx>
        <c:axId val="376034704"/>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122452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Input'!$B$16</c:f>
              <c:strCache>
                <c:ptCount val="1"/>
                <c:pt idx="0">
                  <c:v>Total Revenue</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Input'!$H$16:$O$16</c:f>
              <c:numCache>
                <c:formatCode>_(* #,##0_);_(* \(#,##0\);_(* "-"_);_(@_)</c:formatCode>
                <c:ptCount val="8"/>
                <c:pt idx="0">
                  <c:v>8180339</c:v>
                </c:pt>
                <c:pt idx="1">
                  <c:v>7841399</c:v>
                </c:pt>
                <c:pt idx="2">
                  <c:v>8692733</c:v>
                </c:pt>
                <c:pt idx="3">
                  <c:v>8936782</c:v>
                </c:pt>
                <c:pt idx="4">
                  <c:v>9082813</c:v>
                </c:pt>
                <c:pt idx="5">
                  <c:v>9422488</c:v>
                </c:pt>
                <c:pt idx="6">
                  <c:v>9895421</c:v>
                </c:pt>
                <c:pt idx="7">
                  <c:v>9662435</c:v>
                </c:pt>
              </c:numCache>
            </c:numRef>
          </c:val>
          <c:extLst>
            <c:ext xmlns:c16="http://schemas.microsoft.com/office/drawing/2014/chart" uri="{C3380CC4-5D6E-409C-BE32-E72D297353CC}">
              <c16:uniqueId val="{00000000-80BF-4647-880D-F3BC8C1E4FEE}"/>
            </c:ext>
          </c:extLst>
        </c:ser>
        <c:ser>
          <c:idx val="1"/>
          <c:order val="1"/>
          <c:tx>
            <c:strRef>
              <c:f>'Data Input'!$B$30</c:f>
              <c:strCache>
                <c:ptCount val="1"/>
                <c:pt idx="0">
                  <c:v>Total Expenditures</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Input'!$H$30:$O$30</c:f>
              <c:numCache>
                <c:formatCode>_(* #,##0_);_(* \(#,##0\);_(* "-"_);_(@_)</c:formatCode>
                <c:ptCount val="8"/>
                <c:pt idx="0">
                  <c:v>7960421</c:v>
                </c:pt>
                <c:pt idx="1">
                  <c:v>8795702</c:v>
                </c:pt>
                <c:pt idx="2">
                  <c:v>8628500</c:v>
                </c:pt>
                <c:pt idx="3">
                  <c:v>8731490</c:v>
                </c:pt>
                <c:pt idx="4">
                  <c:v>8627002</c:v>
                </c:pt>
                <c:pt idx="5">
                  <c:v>9252910</c:v>
                </c:pt>
                <c:pt idx="6">
                  <c:v>9238365</c:v>
                </c:pt>
                <c:pt idx="7">
                  <c:v>9885389</c:v>
                </c:pt>
              </c:numCache>
            </c:numRef>
          </c:val>
          <c:extLst>
            <c:ext xmlns:c16="http://schemas.microsoft.com/office/drawing/2014/chart" uri="{C3380CC4-5D6E-409C-BE32-E72D297353CC}">
              <c16:uniqueId val="{00000001-80BF-4647-880D-F3BC8C1E4FEE}"/>
            </c:ext>
          </c:extLst>
        </c:ser>
        <c:dLbls>
          <c:showLegendKey val="0"/>
          <c:showVal val="0"/>
          <c:showCatName val="0"/>
          <c:showSerName val="0"/>
          <c:showPercent val="0"/>
          <c:showBubbleSize val="0"/>
        </c:dLbls>
        <c:gapWidth val="150"/>
        <c:axId val="376033528"/>
        <c:axId val="376033136"/>
      </c:barChart>
      <c:lineChart>
        <c:grouping val="standard"/>
        <c:varyColors val="0"/>
        <c:ser>
          <c:idx val="2"/>
          <c:order val="2"/>
          <c:tx>
            <c:strRef>
              <c:f>'Data Input'!$B$39</c:f>
              <c:strCache>
                <c:ptCount val="1"/>
                <c:pt idx="0">
                  <c:v>Total fund balance</c:v>
                </c:pt>
              </c:strCache>
            </c:strRef>
          </c:tx>
          <c:spPr>
            <a:ln w="44450">
              <a:solidFill>
                <a:schemeClr val="tx1"/>
              </a:solidFill>
            </a:ln>
          </c:spPr>
          <c:marker>
            <c:symbol val="none"/>
          </c:marker>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Input'!$H$39:$O$39</c:f>
              <c:numCache>
                <c:formatCode>_(* #,##0_);_(* \(#,##0\);_(* "-"_);_(@_)</c:formatCode>
                <c:ptCount val="8"/>
                <c:pt idx="0">
                  <c:v>11279093</c:v>
                </c:pt>
                <c:pt idx="1">
                  <c:v>9852116</c:v>
                </c:pt>
                <c:pt idx="2">
                  <c:v>9835110</c:v>
                </c:pt>
                <c:pt idx="3">
                  <c:v>10040402</c:v>
                </c:pt>
                <c:pt idx="4">
                  <c:v>10523063</c:v>
                </c:pt>
                <c:pt idx="5">
                  <c:v>10718504</c:v>
                </c:pt>
                <c:pt idx="6">
                  <c:v>11599050</c:v>
                </c:pt>
                <c:pt idx="7">
                  <c:v>11214327</c:v>
                </c:pt>
              </c:numCache>
            </c:numRef>
          </c:val>
          <c:smooth val="0"/>
          <c:extLst>
            <c:ext xmlns:c16="http://schemas.microsoft.com/office/drawing/2014/chart" uri="{C3380CC4-5D6E-409C-BE32-E72D297353CC}">
              <c16:uniqueId val="{00000002-80BF-4647-880D-F3BC8C1E4FEE}"/>
            </c:ext>
          </c:extLst>
        </c:ser>
        <c:dLbls>
          <c:showLegendKey val="0"/>
          <c:showVal val="0"/>
          <c:showCatName val="0"/>
          <c:showSerName val="0"/>
          <c:showPercent val="0"/>
          <c:showBubbleSize val="0"/>
        </c:dLbls>
        <c:marker val="1"/>
        <c:smooth val="0"/>
        <c:axId val="376033528"/>
        <c:axId val="376033136"/>
      </c:lineChart>
      <c:catAx>
        <c:axId val="376033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6033136"/>
        <c:crosses val="autoZero"/>
        <c:auto val="1"/>
        <c:lblAlgn val="ctr"/>
        <c:lblOffset val="100"/>
        <c:noMultiLvlLbl val="0"/>
      </c:catAx>
      <c:valAx>
        <c:axId val="376033136"/>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6033528"/>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64903425533379"/>
          <c:y val="4.9344531933508518E-2"/>
          <c:w val="0.69900286939657064"/>
          <c:h val="0.65264811898512876"/>
        </c:manualLayout>
      </c:layout>
      <c:barChart>
        <c:barDir val="col"/>
        <c:grouping val="stacked"/>
        <c:varyColors val="0"/>
        <c:ser>
          <c:idx val="0"/>
          <c:order val="0"/>
          <c:tx>
            <c:strRef>
              <c:f>'Data Input'!$B$34</c:f>
              <c:strCache>
                <c:ptCount val="1"/>
                <c:pt idx="0">
                  <c:v>Unassigned/Undesignated</c:v>
                </c:pt>
              </c:strCache>
            </c:strRef>
          </c:tx>
          <c:spPr>
            <a:solidFill>
              <a:schemeClr val="accent6">
                <a:lumMod val="75000"/>
              </a:schemeClr>
            </a:solidFill>
          </c:spPr>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Input'!$H$34:$O$34</c:f>
              <c:numCache>
                <c:formatCode>_(* #,##0_);_(* \(#,##0\);_(* "-"_);_(@_)</c:formatCode>
                <c:ptCount val="8"/>
                <c:pt idx="0">
                  <c:v>5142915</c:v>
                </c:pt>
                <c:pt idx="1">
                  <c:v>2072191</c:v>
                </c:pt>
                <c:pt idx="2">
                  <c:v>2100164</c:v>
                </c:pt>
                <c:pt idx="3">
                  <c:v>2185844</c:v>
                </c:pt>
                <c:pt idx="4">
                  <c:v>2354412</c:v>
                </c:pt>
                <c:pt idx="5">
                  <c:v>2396027</c:v>
                </c:pt>
                <c:pt idx="6">
                  <c:v>2377458</c:v>
                </c:pt>
                <c:pt idx="7">
                  <c:v>2652748</c:v>
                </c:pt>
              </c:numCache>
            </c:numRef>
          </c:val>
          <c:extLst>
            <c:ext xmlns:c16="http://schemas.microsoft.com/office/drawing/2014/chart" uri="{C3380CC4-5D6E-409C-BE32-E72D297353CC}">
              <c16:uniqueId val="{00000000-37DC-4600-A80D-4960595AEE85}"/>
            </c:ext>
          </c:extLst>
        </c:ser>
        <c:ser>
          <c:idx val="1"/>
          <c:order val="1"/>
          <c:tx>
            <c:strRef>
              <c:f>'Data Input'!$B$35</c:f>
              <c:strCache>
                <c:ptCount val="1"/>
                <c:pt idx="0">
                  <c:v>Assigned/Designated</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Input'!$H$35:$O$35</c:f>
              <c:numCache>
                <c:formatCode>_(* #,##0_);_(* \(#,##0\);_(* "-"_);_(@_)</c:formatCode>
                <c:ptCount val="8"/>
                <c:pt idx="0">
                  <c:v>2441817</c:v>
                </c:pt>
                <c:pt idx="1">
                  <c:v>13918</c:v>
                </c:pt>
                <c:pt idx="2">
                  <c:v>13272</c:v>
                </c:pt>
                <c:pt idx="3">
                  <c:v>11689</c:v>
                </c:pt>
                <c:pt idx="4">
                  <c:v>8885</c:v>
                </c:pt>
                <c:pt idx="5">
                  <c:v>6603</c:v>
                </c:pt>
                <c:pt idx="6">
                  <c:v>623</c:v>
                </c:pt>
                <c:pt idx="7">
                  <c:v>64</c:v>
                </c:pt>
              </c:numCache>
            </c:numRef>
          </c:val>
          <c:extLst>
            <c:ext xmlns:c16="http://schemas.microsoft.com/office/drawing/2014/chart" uri="{C3380CC4-5D6E-409C-BE32-E72D297353CC}">
              <c16:uniqueId val="{00000001-37DC-4600-A80D-4960595AEE85}"/>
            </c:ext>
          </c:extLst>
        </c:ser>
        <c:ser>
          <c:idx val="3"/>
          <c:order val="2"/>
          <c:tx>
            <c:strRef>
              <c:f>'Data Input'!$B$36</c:f>
              <c:strCache>
                <c:ptCount val="1"/>
                <c:pt idx="0">
                  <c:v>Committed</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Input'!$H$36:$O$36</c:f>
              <c:numCache>
                <c:formatCode>_(* #,##0_);_(* \(#,##0\);_(* "-"_);_(@_)</c:formatCode>
                <c:ptCount val="8"/>
                <c:pt idx="0">
                  <c:v>0</c:v>
                </c:pt>
                <c:pt idx="1">
                  <c:v>4584161</c:v>
                </c:pt>
                <c:pt idx="2">
                  <c:v>4845765</c:v>
                </c:pt>
                <c:pt idx="3">
                  <c:v>5653300</c:v>
                </c:pt>
                <c:pt idx="4">
                  <c:v>6204883</c:v>
                </c:pt>
                <c:pt idx="5">
                  <c:v>6517000</c:v>
                </c:pt>
                <c:pt idx="6">
                  <c:v>6861303</c:v>
                </c:pt>
                <c:pt idx="7">
                  <c:v>6669603</c:v>
                </c:pt>
              </c:numCache>
            </c:numRef>
          </c:val>
          <c:extLst>
            <c:ext xmlns:c16="http://schemas.microsoft.com/office/drawing/2014/chart" uri="{C3380CC4-5D6E-409C-BE32-E72D297353CC}">
              <c16:uniqueId val="{00000002-37DC-4600-A80D-4960595AEE85}"/>
            </c:ext>
          </c:extLst>
        </c:ser>
        <c:ser>
          <c:idx val="2"/>
          <c:order val="3"/>
          <c:tx>
            <c:strRef>
              <c:f>'Data Input'!$B$37</c:f>
              <c:strCache>
                <c:ptCount val="1"/>
                <c:pt idx="0">
                  <c:v>Restricted/Reserved</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Input'!$H$37:$O$37</c:f>
              <c:numCache>
                <c:formatCode>_(* #,##0_);_(* \(#,##0\);_(* "-"_);_(@_)</c:formatCode>
                <c:ptCount val="8"/>
                <c:pt idx="0">
                  <c:v>3229361</c:v>
                </c:pt>
                <c:pt idx="1">
                  <c:v>2575795</c:v>
                </c:pt>
                <c:pt idx="2">
                  <c:v>2301785</c:v>
                </c:pt>
                <c:pt idx="3">
                  <c:v>1700471</c:v>
                </c:pt>
                <c:pt idx="4">
                  <c:v>1540089</c:v>
                </c:pt>
                <c:pt idx="5">
                  <c:v>1396864</c:v>
                </c:pt>
                <c:pt idx="6">
                  <c:v>1881031</c:v>
                </c:pt>
                <c:pt idx="7">
                  <c:v>1480418</c:v>
                </c:pt>
              </c:numCache>
            </c:numRef>
          </c:val>
          <c:extLst>
            <c:ext xmlns:c16="http://schemas.microsoft.com/office/drawing/2014/chart" uri="{C3380CC4-5D6E-409C-BE32-E72D297353CC}">
              <c16:uniqueId val="{00000003-37DC-4600-A80D-4960595AEE85}"/>
            </c:ext>
          </c:extLst>
        </c:ser>
        <c:ser>
          <c:idx val="4"/>
          <c:order val="4"/>
          <c:tx>
            <c:strRef>
              <c:f>'Data Input'!$B$38</c:f>
              <c:strCache>
                <c:ptCount val="1"/>
                <c:pt idx="0">
                  <c:v>Nonspendable</c:v>
                </c:pt>
              </c:strCache>
            </c:strRef>
          </c:tx>
          <c:invertIfNegative val="0"/>
          <c:cat>
            <c:numRef>
              <c:f>'Data Input'!$H$2:$O$2</c:f>
              <c:numCache>
                <c:formatCode>General</c:formatCode>
                <c:ptCount val="8"/>
                <c:pt idx="0">
                  <c:v>2010</c:v>
                </c:pt>
                <c:pt idx="1">
                  <c:v>2011</c:v>
                </c:pt>
                <c:pt idx="2">
                  <c:v>2012</c:v>
                </c:pt>
                <c:pt idx="3">
                  <c:v>2013</c:v>
                </c:pt>
                <c:pt idx="4">
                  <c:v>2014</c:v>
                </c:pt>
                <c:pt idx="5">
                  <c:v>2015</c:v>
                </c:pt>
                <c:pt idx="6">
                  <c:v>2016</c:v>
                </c:pt>
                <c:pt idx="7">
                  <c:v>2017</c:v>
                </c:pt>
              </c:numCache>
            </c:numRef>
          </c:cat>
          <c:val>
            <c:numRef>
              <c:f>'Data Input'!$H$38:$O$38</c:f>
              <c:numCache>
                <c:formatCode>_(* #,##0_);_(* \(#,##0\);_(* "-"_);_(@_)</c:formatCode>
                <c:ptCount val="8"/>
                <c:pt idx="0">
                  <c:v>465000</c:v>
                </c:pt>
                <c:pt idx="1">
                  <c:v>606051</c:v>
                </c:pt>
                <c:pt idx="2">
                  <c:v>574124</c:v>
                </c:pt>
                <c:pt idx="3">
                  <c:v>489098</c:v>
                </c:pt>
                <c:pt idx="4">
                  <c:v>414794</c:v>
                </c:pt>
                <c:pt idx="5">
                  <c:v>402010</c:v>
                </c:pt>
                <c:pt idx="6">
                  <c:v>478635</c:v>
                </c:pt>
                <c:pt idx="7">
                  <c:v>411494</c:v>
                </c:pt>
              </c:numCache>
            </c:numRef>
          </c:val>
          <c:extLst>
            <c:ext xmlns:c16="http://schemas.microsoft.com/office/drawing/2014/chart" uri="{C3380CC4-5D6E-409C-BE32-E72D297353CC}">
              <c16:uniqueId val="{00000004-37DC-4600-A80D-4960595AEE85}"/>
            </c:ext>
          </c:extLst>
        </c:ser>
        <c:dLbls>
          <c:showLegendKey val="0"/>
          <c:showVal val="0"/>
          <c:showCatName val="0"/>
          <c:showSerName val="0"/>
          <c:showPercent val="0"/>
          <c:showBubbleSize val="0"/>
        </c:dLbls>
        <c:gapWidth val="150"/>
        <c:overlap val="100"/>
        <c:axId val="376032352"/>
        <c:axId val="376035096"/>
      </c:barChart>
      <c:catAx>
        <c:axId val="376032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6035096"/>
        <c:crosses val="autoZero"/>
        <c:auto val="1"/>
        <c:lblAlgn val="ctr"/>
        <c:lblOffset val="100"/>
        <c:noMultiLvlLbl val="0"/>
      </c:catAx>
      <c:valAx>
        <c:axId val="376035096"/>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6032352"/>
        <c:crosses val="autoZero"/>
        <c:crossBetween val="between"/>
      </c:valAx>
    </c:plotArea>
    <c:legend>
      <c:legendPos val="b"/>
      <c:layout>
        <c:manualLayout>
          <c:xMode val="edge"/>
          <c:yMode val="edge"/>
          <c:x val="0.16238704427680806"/>
          <c:y val="0.80065476815398073"/>
          <c:w val="0.77157376306982661"/>
          <c:h val="0.17267856517935257"/>
        </c:manualLayout>
      </c:layout>
      <c:overlay val="1"/>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 Input'!$B$34</c:f>
              <c:strCache>
                <c:ptCount val="1"/>
                <c:pt idx="0">
                  <c:v>Unassigned/Undesignated</c:v>
                </c:pt>
              </c:strCache>
            </c:strRef>
          </c:tx>
          <c:spPr>
            <a:solidFill>
              <a:schemeClr val="accent6">
                <a:lumMod val="75000"/>
              </a:schemeClr>
            </a:solidFill>
          </c:spPr>
          <c:invertIfNegative val="0"/>
          <c:cat>
            <c:numRef>
              <c:f>'Data Input'!$Q$2:$R$2</c:f>
              <c:numCache>
                <c:formatCode>General</c:formatCode>
                <c:ptCount val="2"/>
                <c:pt idx="0">
                  <c:v>2016</c:v>
                </c:pt>
                <c:pt idx="1">
                  <c:v>2017</c:v>
                </c:pt>
              </c:numCache>
            </c:numRef>
          </c:cat>
          <c:val>
            <c:numRef>
              <c:f>'Data Input'!$Q$34:$R$34</c:f>
              <c:numCache>
                <c:formatCode>_(* #,##0_);_(* \(#,##0\);_(* "-"_);_(@_)</c:formatCode>
                <c:ptCount val="2"/>
                <c:pt idx="0">
                  <c:v>398.23</c:v>
                </c:pt>
                <c:pt idx="1">
                  <c:v>444.35</c:v>
                </c:pt>
              </c:numCache>
            </c:numRef>
          </c:val>
          <c:extLst>
            <c:ext xmlns:c16="http://schemas.microsoft.com/office/drawing/2014/chart" uri="{C3380CC4-5D6E-409C-BE32-E72D297353CC}">
              <c16:uniqueId val="{00000000-DE01-4EED-A3B9-CB23DF81AB8F}"/>
            </c:ext>
          </c:extLst>
        </c:ser>
        <c:ser>
          <c:idx val="1"/>
          <c:order val="1"/>
          <c:tx>
            <c:strRef>
              <c:f>'Data Input'!$B$35</c:f>
              <c:strCache>
                <c:ptCount val="1"/>
                <c:pt idx="0">
                  <c:v>Assigned/Designated</c:v>
                </c:pt>
              </c:strCache>
            </c:strRef>
          </c:tx>
          <c:invertIfNegative val="0"/>
          <c:cat>
            <c:numRef>
              <c:f>'Data Input'!$Q$2:$R$2</c:f>
              <c:numCache>
                <c:formatCode>General</c:formatCode>
                <c:ptCount val="2"/>
                <c:pt idx="0">
                  <c:v>2016</c:v>
                </c:pt>
                <c:pt idx="1">
                  <c:v>2017</c:v>
                </c:pt>
              </c:numCache>
            </c:numRef>
          </c:cat>
          <c:val>
            <c:numRef>
              <c:f>'Data Input'!$Q$35:$R$35</c:f>
              <c:numCache>
                <c:formatCode>_(* #,##0_);_(* \(#,##0\);_(* "-"_);_(@_)</c:formatCode>
                <c:ptCount val="2"/>
                <c:pt idx="0">
                  <c:v>0.1</c:v>
                </c:pt>
                <c:pt idx="1">
                  <c:v>0.01</c:v>
                </c:pt>
              </c:numCache>
            </c:numRef>
          </c:val>
          <c:extLst>
            <c:ext xmlns:c16="http://schemas.microsoft.com/office/drawing/2014/chart" uri="{C3380CC4-5D6E-409C-BE32-E72D297353CC}">
              <c16:uniqueId val="{00000001-DE01-4EED-A3B9-CB23DF81AB8F}"/>
            </c:ext>
          </c:extLst>
        </c:ser>
        <c:ser>
          <c:idx val="2"/>
          <c:order val="2"/>
          <c:tx>
            <c:strRef>
              <c:f>'Data Input'!$B$36</c:f>
              <c:strCache>
                <c:ptCount val="1"/>
                <c:pt idx="0">
                  <c:v>Committed</c:v>
                </c:pt>
              </c:strCache>
            </c:strRef>
          </c:tx>
          <c:invertIfNegative val="0"/>
          <c:cat>
            <c:numRef>
              <c:f>'Data Input'!$Q$2:$R$2</c:f>
              <c:numCache>
                <c:formatCode>General</c:formatCode>
                <c:ptCount val="2"/>
                <c:pt idx="0">
                  <c:v>2016</c:v>
                </c:pt>
                <c:pt idx="1">
                  <c:v>2017</c:v>
                </c:pt>
              </c:numCache>
            </c:numRef>
          </c:cat>
          <c:val>
            <c:numRef>
              <c:f>'Data Input'!$Q$36:$R$36</c:f>
              <c:numCache>
                <c:formatCode>_(* #,##0_);_(* \(#,##0\);_(* "-"_);_(@_)</c:formatCode>
                <c:ptCount val="2"/>
                <c:pt idx="0">
                  <c:v>1149.3</c:v>
                </c:pt>
                <c:pt idx="1">
                  <c:v>1117.19</c:v>
                </c:pt>
              </c:numCache>
            </c:numRef>
          </c:val>
          <c:extLst>
            <c:ext xmlns:c16="http://schemas.microsoft.com/office/drawing/2014/chart" uri="{C3380CC4-5D6E-409C-BE32-E72D297353CC}">
              <c16:uniqueId val="{00000002-DE01-4EED-A3B9-CB23DF81AB8F}"/>
            </c:ext>
          </c:extLst>
        </c:ser>
        <c:ser>
          <c:idx val="3"/>
          <c:order val="3"/>
          <c:tx>
            <c:strRef>
              <c:f>'Data Input'!$B$37</c:f>
              <c:strCache>
                <c:ptCount val="1"/>
                <c:pt idx="0">
                  <c:v>Restricted/Reserved</c:v>
                </c:pt>
              </c:strCache>
            </c:strRef>
          </c:tx>
          <c:invertIfNegative val="0"/>
          <c:cat>
            <c:numRef>
              <c:f>'Data Input'!$Q$2:$R$2</c:f>
              <c:numCache>
                <c:formatCode>General</c:formatCode>
                <c:ptCount val="2"/>
                <c:pt idx="0">
                  <c:v>2016</c:v>
                </c:pt>
                <c:pt idx="1">
                  <c:v>2017</c:v>
                </c:pt>
              </c:numCache>
            </c:numRef>
          </c:cat>
          <c:val>
            <c:numRef>
              <c:f>'Data Input'!$Q$37:$R$37</c:f>
              <c:numCache>
                <c:formatCode>_(* #,##0_);_(* \(#,##0\);_(* "-"_);_(@_)</c:formatCode>
                <c:ptCount val="2"/>
                <c:pt idx="0">
                  <c:v>315.08</c:v>
                </c:pt>
                <c:pt idx="1">
                  <c:v>247.98</c:v>
                </c:pt>
              </c:numCache>
            </c:numRef>
          </c:val>
          <c:extLst>
            <c:ext xmlns:c16="http://schemas.microsoft.com/office/drawing/2014/chart" uri="{C3380CC4-5D6E-409C-BE32-E72D297353CC}">
              <c16:uniqueId val="{00000003-DE01-4EED-A3B9-CB23DF81AB8F}"/>
            </c:ext>
          </c:extLst>
        </c:ser>
        <c:ser>
          <c:idx val="4"/>
          <c:order val="4"/>
          <c:tx>
            <c:strRef>
              <c:f>'Data Input'!$B$38</c:f>
              <c:strCache>
                <c:ptCount val="1"/>
                <c:pt idx="0">
                  <c:v>Nonspendable</c:v>
                </c:pt>
              </c:strCache>
            </c:strRef>
          </c:tx>
          <c:invertIfNegative val="0"/>
          <c:cat>
            <c:numRef>
              <c:f>'Data Input'!$Q$2:$R$2</c:f>
              <c:numCache>
                <c:formatCode>General</c:formatCode>
                <c:ptCount val="2"/>
                <c:pt idx="0">
                  <c:v>2016</c:v>
                </c:pt>
                <c:pt idx="1">
                  <c:v>2017</c:v>
                </c:pt>
              </c:numCache>
            </c:numRef>
          </c:cat>
          <c:val>
            <c:numRef>
              <c:f>'Data Input'!$Q$38:$R$38</c:f>
              <c:numCache>
                <c:formatCode>_(* #,##0_);_(* \(#,##0\);_(* "-"_);_(@_)</c:formatCode>
                <c:ptCount val="2"/>
                <c:pt idx="0">
                  <c:v>80.17</c:v>
                </c:pt>
                <c:pt idx="1">
                  <c:v>68.930000000000007</c:v>
                </c:pt>
              </c:numCache>
            </c:numRef>
          </c:val>
          <c:extLst>
            <c:ext xmlns:c16="http://schemas.microsoft.com/office/drawing/2014/chart" uri="{C3380CC4-5D6E-409C-BE32-E72D297353CC}">
              <c16:uniqueId val="{00000004-DE01-4EED-A3B9-CB23DF81AB8F}"/>
            </c:ext>
          </c:extLst>
        </c:ser>
        <c:dLbls>
          <c:showLegendKey val="0"/>
          <c:showVal val="0"/>
          <c:showCatName val="0"/>
          <c:showSerName val="0"/>
          <c:showPercent val="0"/>
          <c:showBubbleSize val="0"/>
        </c:dLbls>
        <c:gapWidth val="150"/>
        <c:overlap val="100"/>
        <c:axId val="375866184"/>
        <c:axId val="375866968"/>
      </c:barChart>
      <c:catAx>
        <c:axId val="3758661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5866968"/>
        <c:crosses val="autoZero"/>
        <c:auto val="1"/>
        <c:lblAlgn val="ctr"/>
        <c:lblOffset val="100"/>
        <c:noMultiLvlLbl val="0"/>
      </c:catAx>
      <c:valAx>
        <c:axId val="375866968"/>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75866184"/>
        <c:crosses val="autoZero"/>
        <c:crossBetween val="between"/>
      </c:valAx>
    </c:plotArea>
    <c:legend>
      <c:legendPos val="r"/>
      <c:layout>
        <c:manualLayout>
          <c:xMode val="edge"/>
          <c:yMode val="edge"/>
          <c:x val="0.64086156972313968"/>
          <c:y val="0.636668766404202"/>
          <c:w val="0.32473186013038691"/>
          <c:h val="0.3400010498687661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trlProps/ctrlProp1.xml><?xml version="1.0" encoding="utf-8"?>
<formControlPr xmlns="http://schemas.microsoft.com/office/spreadsheetml/2009/9/main" objectType="Drop" dropStyle="combo" dx="16" fmlaLink="'Data Input'!$B$85" fmlaRange="'Data Input'!$B$7:$B$16" sel="1" val="0"/>
</file>

<file path=xl/ctrlProps/ctrlProp2.xml><?xml version="1.0" encoding="utf-8"?>
<formControlPr xmlns="http://schemas.microsoft.com/office/spreadsheetml/2009/9/main" objectType="Drop" dropLines="9" dropStyle="combo" dx="16" fmlaLink="'Data Input'!$B$87" fmlaRange="'Data Input'!$B$18:$B$30" noThreeD="1" sel="1" val="0"/>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106680</xdr:colOff>
      <xdr:row>3</xdr:row>
      <xdr:rowOff>53340</xdr:rowOff>
    </xdr:from>
    <xdr:to>
      <xdr:col>16</xdr:col>
      <xdr:colOff>563908</xdr:colOff>
      <xdr:row>4</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6680" y="457200"/>
          <a:ext cx="742950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a:t>
          </a:r>
        </a:p>
        <a:p>
          <a:r>
            <a:rPr lang="en-US" sz="1100">
              <a:solidFill>
                <a:schemeClr val="dk1"/>
              </a:solidFill>
              <a:effectLst/>
              <a:latin typeface="+mn-lt"/>
              <a:ea typeface="+mn-ea"/>
              <a:cs typeface="+mn-cs"/>
            </a:rPr>
            <a:t>Input all data on this page. The following pages will then provide the graphs and charts which comprise the Transparency tool (citizen friendly guide). This model requires 5 years of data, but allows up to 10 years. To use more than 5 years, unhide columns D-H.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Before providing to client, "unlink" the</a:t>
          </a:r>
          <a:r>
            <a:rPr lang="en-US" sz="1100" baseline="0">
              <a:solidFill>
                <a:schemeClr val="dk1"/>
              </a:solidFill>
              <a:effectLst/>
              <a:latin typeface="+mn-lt"/>
              <a:ea typeface="+mn-ea"/>
              <a:cs typeface="+mn-cs"/>
            </a:rPr>
            <a:t> Caseware Connectors (Add-ins, Tools, Unlink)</a:t>
          </a:r>
          <a:br>
            <a:rPr lang="en-US" sz="1100" baseline="0">
              <a:solidFill>
                <a:schemeClr val="dk1"/>
              </a:solidFill>
              <a:effectLst/>
              <a:latin typeface="+mn-lt"/>
              <a:ea typeface="+mn-ea"/>
              <a:cs typeface="+mn-cs"/>
            </a:rPr>
          </a:br>
          <a:br>
            <a:rPr lang="en-US" sz="1100" baseline="0">
              <a:solidFill>
                <a:schemeClr val="dk1"/>
              </a:solidFill>
              <a:effectLst/>
              <a:latin typeface="+mn-lt"/>
              <a:ea typeface="+mn-ea"/>
              <a:cs typeface="+mn-cs"/>
            </a:rPr>
          </a:br>
          <a:r>
            <a:rPr lang="en-US" sz="1100">
              <a:solidFill>
                <a:schemeClr val="dk1"/>
              </a:solidFill>
              <a:effectLst/>
              <a:latin typeface="+mn-lt"/>
              <a:ea typeface="+mn-ea"/>
              <a:cs typeface="+mn-cs"/>
            </a:rPr>
            <a:t>Before publishing to the web site, we recommend "hiding" this tab, and the "F-65 crosswalk" tab, so that the document will be more user-friendly. (To do that, right-click on the tab and select "Hide." </a:t>
          </a:r>
          <a:endParaRPr lang="en-US" sz="1100" baseline="0"/>
        </a:p>
      </xdr:txBody>
    </xdr:sp>
    <xdr:clientData/>
  </xdr:twoCellAnchor>
  <xdr:twoCellAnchor>
    <xdr:from>
      <xdr:col>0</xdr:col>
      <xdr:colOff>0</xdr:colOff>
      <xdr:row>19</xdr:row>
      <xdr:rowOff>0</xdr:rowOff>
    </xdr:from>
    <xdr:to>
      <xdr:col>0</xdr:col>
      <xdr:colOff>526068</xdr:colOff>
      <xdr:row>29</xdr:row>
      <xdr:rowOff>32409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4213860"/>
          <a:ext cx="548640" cy="1851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i="1"/>
            <a:t>Please "hide" any rows that are not being used</a:t>
          </a:r>
          <a:r>
            <a:rPr lang="en-US" sz="1100"/>
            <a:t>. </a:t>
          </a:r>
        </a:p>
      </xdr:txBody>
    </xdr:sp>
    <xdr:clientData/>
  </xdr:twoCellAnchor>
  <xdr:twoCellAnchor>
    <xdr:from>
      <xdr:col>0</xdr:col>
      <xdr:colOff>0</xdr:colOff>
      <xdr:row>33</xdr:row>
      <xdr:rowOff>30480</xdr:rowOff>
    </xdr:from>
    <xdr:to>
      <xdr:col>1</xdr:col>
      <xdr:colOff>30480</xdr:colOff>
      <xdr:row>38</xdr:row>
      <xdr:rowOff>162019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0" y="6842760"/>
          <a:ext cx="62484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"Hide" unused rows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771525</xdr:colOff>
      <xdr:row>16</xdr:row>
      <xdr:rowOff>0</xdr:rowOff>
    </xdr:to>
    <xdr:graphicFrame macro="">
      <xdr:nvGraphicFramePr>
        <xdr:cNvPr id="1304" name="Chart 1">
          <a:extLst>
            <a:ext uri="{FF2B5EF4-FFF2-40B4-BE49-F238E27FC236}">
              <a16:creationId xmlns:a16="http://schemas.microsoft.com/office/drawing/2014/main" id="{00000000-0008-0000-0300-000018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0</xdr:rowOff>
    </xdr:from>
    <xdr:to>
      <xdr:col>4</xdr:col>
      <xdr:colOff>771525</xdr:colOff>
      <xdr:row>32</xdr:row>
      <xdr:rowOff>0</xdr:rowOff>
    </xdr:to>
    <xdr:graphicFrame macro="">
      <xdr:nvGraphicFramePr>
        <xdr:cNvPr id="1305" name="Chart 2">
          <a:extLst>
            <a:ext uri="{FF2B5EF4-FFF2-40B4-BE49-F238E27FC236}">
              <a16:creationId xmlns:a16="http://schemas.microsoft.com/office/drawing/2014/main" id="{00000000-0008-0000-0300-000019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17</xdr:row>
      <xdr:rowOff>0</xdr:rowOff>
    </xdr:from>
    <xdr:to>
      <xdr:col>9</xdr:col>
      <xdr:colOff>1323975</xdr:colOff>
      <xdr:row>32</xdr:row>
      <xdr:rowOff>0</xdr:rowOff>
    </xdr:to>
    <xdr:graphicFrame macro="">
      <xdr:nvGraphicFramePr>
        <xdr:cNvPr id="1306" name="Chart 3">
          <a:extLst>
            <a:ext uri="{FF2B5EF4-FFF2-40B4-BE49-F238E27FC236}">
              <a16:creationId xmlns:a16="http://schemas.microsoft.com/office/drawing/2014/main" id="{00000000-0008-0000-0300-00001A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68580</xdr:colOff>
      <xdr:row>32</xdr:row>
      <xdr:rowOff>24093</xdr:rowOff>
    </xdr:from>
    <xdr:to>
      <xdr:col>9</xdr:col>
      <xdr:colOff>1291587</xdr:colOff>
      <xdr:row>36</xdr:row>
      <xdr:rowOff>33683</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68580" y="6667500"/>
          <a:ext cx="9468632" cy="997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Property values in Northville have stabliized.  The increase of 2% in </a:t>
          </a:r>
          <a:r>
            <a:rPr lang="en-US" sz="1100">
              <a:solidFill>
                <a:schemeClr val="dk1"/>
              </a:solidFill>
              <a:latin typeface="+mn-lt"/>
              <a:ea typeface="+mn-ea"/>
              <a:cs typeface="+mn-cs"/>
            </a:rPr>
            <a:t>property tax</a:t>
          </a:r>
          <a:r>
            <a:rPr lang="en-US" sz="1100" baseline="0">
              <a:solidFill>
                <a:schemeClr val="dk1"/>
              </a:solidFill>
              <a:latin typeface="+mn-lt"/>
              <a:ea typeface="+mn-ea"/>
              <a:cs typeface="+mn-cs"/>
            </a:rPr>
            <a:t> revenue</a:t>
          </a:r>
          <a:r>
            <a:rPr lang="en-US" sz="1100">
              <a:solidFill>
                <a:schemeClr val="dk1"/>
              </a:solidFill>
              <a:latin typeface="+mn-lt"/>
              <a:ea typeface="+mn-ea"/>
              <a:cs typeface="+mn-cs"/>
            </a:rPr>
            <a:t> from the prior year was primarily</a:t>
          </a:r>
          <a:r>
            <a:rPr lang="en-US" sz="1100" baseline="0">
              <a:solidFill>
                <a:schemeClr val="dk1"/>
              </a:solidFill>
              <a:latin typeface="+mn-lt"/>
              <a:ea typeface="+mn-ea"/>
              <a:cs typeface="+mn-cs"/>
            </a:rPr>
            <a:t> due to the increase in taxable value .</a:t>
          </a:r>
          <a:r>
            <a:rPr lang="en-US" sz="1100">
              <a:solidFill>
                <a:schemeClr val="dk1"/>
              </a:solidFill>
              <a:latin typeface="+mn-lt"/>
              <a:ea typeface="+mn-ea"/>
              <a:cs typeface="+mn-cs"/>
            </a:rPr>
            <a:t> Property</a:t>
          </a:r>
          <a:r>
            <a:rPr lang="en-US" sz="1100" baseline="0">
              <a:solidFill>
                <a:schemeClr val="dk1"/>
              </a:solidFill>
              <a:latin typeface="+mn-lt"/>
              <a:ea typeface="+mn-ea"/>
              <a:cs typeface="+mn-cs"/>
            </a:rPr>
            <a:t> taxes c</a:t>
          </a:r>
          <a:r>
            <a:rPr lang="en-US" sz="1100">
              <a:solidFill>
                <a:schemeClr val="dk1"/>
              </a:solidFill>
              <a:latin typeface="+mn-lt"/>
              <a:ea typeface="+mn-ea"/>
              <a:cs typeface="+mn-cs"/>
            </a:rPr>
            <a:t>ontinue to be the City’s single largest source of revenue at 56 percent of governmental revenue. Other</a:t>
          </a:r>
          <a:r>
            <a:rPr lang="en-US" sz="1100" baseline="0">
              <a:solidFill>
                <a:schemeClr val="dk1"/>
              </a:solidFill>
              <a:latin typeface="+mn-lt"/>
              <a:ea typeface="+mn-ea"/>
              <a:cs typeface="+mn-cs"/>
            </a:rPr>
            <a:t> Revenue primarily includes local contributions and racetrack breakage.  Rental income is derived from rents at Allen Terrace, a senior housing facility, and cellular tower leases.  Federal grants fluctuate from year to year due to availablity of funding and timing of related projects.</a:t>
          </a:r>
          <a:endParaRPr lang="en-US" sz="110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5</xdr:col>
          <xdr:colOff>1181100</xdr:colOff>
          <xdr:row>17</xdr:row>
          <xdr:rowOff>9525</xdr:rowOff>
        </xdr:from>
        <xdr:to>
          <xdr:col>7</xdr:col>
          <xdr:colOff>762000</xdr:colOff>
          <xdr:row>18</xdr:row>
          <xdr:rowOff>85725</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3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190500</xdr:rowOff>
    </xdr:from>
    <xdr:to>
      <xdr:col>4</xdr:col>
      <xdr:colOff>247650</xdr:colOff>
      <xdr:row>18</xdr:row>
      <xdr:rowOff>66675</xdr:rowOff>
    </xdr:to>
    <xdr:graphicFrame macro="">
      <xdr:nvGraphicFramePr>
        <xdr:cNvPr id="2328" name="Chart 1">
          <a:extLst>
            <a:ext uri="{FF2B5EF4-FFF2-40B4-BE49-F238E27FC236}">
              <a16:creationId xmlns:a16="http://schemas.microsoft.com/office/drawing/2014/main" id="{00000000-0008-0000-0400-000018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20</xdr:row>
      <xdr:rowOff>95250</xdr:rowOff>
    </xdr:from>
    <xdr:to>
      <xdr:col>5</xdr:col>
      <xdr:colOff>523875</xdr:colOff>
      <xdr:row>38</xdr:row>
      <xdr:rowOff>76200</xdr:rowOff>
    </xdr:to>
    <xdr:graphicFrame macro="">
      <xdr:nvGraphicFramePr>
        <xdr:cNvPr id="2329" name="Chart 3">
          <a:extLst>
            <a:ext uri="{FF2B5EF4-FFF2-40B4-BE49-F238E27FC236}">
              <a16:creationId xmlns:a16="http://schemas.microsoft.com/office/drawing/2014/main" id="{00000000-0008-0000-0400-000019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676275</xdr:colOff>
      <xdr:row>20</xdr:row>
      <xdr:rowOff>66675</xdr:rowOff>
    </xdr:from>
    <xdr:to>
      <xdr:col>10</xdr:col>
      <xdr:colOff>66675</xdr:colOff>
      <xdr:row>38</xdr:row>
      <xdr:rowOff>19050</xdr:rowOff>
    </xdr:to>
    <xdr:graphicFrame macro="">
      <xdr:nvGraphicFramePr>
        <xdr:cNvPr id="2330" name="Chart 4">
          <a:extLst>
            <a:ext uri="{FF2B5EF4-FFF2-40B4-BE49-F238E27FC236}">
              <a16:creationId xmlns:a16="http://schemas.microsoft.com/office/drawing/2014/main" id="{00000000-0008-0000-0400-00001A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68580</xdr:colOff>
      <xdr:row>38</xdr:row>
      <xdr:rowOff>126850</xdr:rowOff>
    </xdr:from>
    <xdr:to>
      <xdr:col>9</xdr:col>
      <xdr:colOff>1303042</xdr:colOff>
      <xdr:row>42</xdr:row>
      <xdr:rowOff>255360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8580" y="6633882"/>
          <a:ext cx="9919016" cy="1030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Overall total governmental expenditures increased 7 percent from</a:t>
          </a:r>
          <a:r>
            <a:rPr lang="en-US" sz="1100" baseline="0">
              <a:solidFill>
                <a:schemeClr val="dk1"/>
              </a:solidFill>
              <a:latin typeface="+mn-lt"/>
              <a:ea typeface="+mn-ea"/>
              <a:cs typeface="+mn-cs"/>
            </a:rPr>
            <a:t> the prior year.  The largest category is police and fire which  account for 38 percent of governmental expenditures.  The second largest category is Roads which increased 85 percent from the prior year . Flucuations in the Roads category are expected from year to year due to scope and timimg of road projects.  The Senior Housing increase is due to capital improvement expenditures at Allen Terrace .  The increase in debt service was due to a new installment purchase agreement entered into to finance the purchase of a fire vehicle.</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104775</xdr:colOff>
          <xdr:row>20</xdr:row>
          <xdr:rowOff>123825</xdr:rowOff>
        </xdr:from>
        <xdr:to>
          <xdr:col>9</xdr:col>
          <xdr:colOff>485775</xdr:colOff>
          <xdr:row>22</xdr:row>
          <xdr:rowOff>28575</xdr:rowOff>
        </xdr:to>
        <xdr:sp macro="" textlink="">
          <xdr:nvSpPr>
            <xdr:cNvPr id="2323" name="Drop Down 275" hidden="1">
              <a:extLst>
                <a:ext uri="{63B3BB69-23CF-44E3-9099-C40C66FF867C}">
                  <a14:compatExt spid="_x0000_s2323"/>
                </a:ext>
                <a:ext uri="{FF2B5EF4-FFF2-40B4-BE49-F238E27FC236}">
                  <a16:creationId xmlns:a16="http://schemas.microsoft.com/office/drawing/2014/main" id="{00000000-0008-0000-0400-000013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c:userShapes xmlns:c="http://schemas.openxmlformats.org/drawingml/2006/chart">
  <cdr:relSizeAnchor xmlns:cdr="http://schemas.openxmlformats.org/drawingml/2006/chartDrawing">
    <cdr:from>
      <cdr:x>0</cdr:x>
      <cdr:y>0.0017</cdr:y>
    </cdr:from>
    <cdr:to>
      <cdr:x>0</cdr:x>
      <cdr:y>0.0017</cdr:y>
    </cdr:to>
    <cdr:pic>
      <cdr:nvPicPr>
        <cdr:cNvPr id="2" name="chart">
          <a:extLst xmlns:a="http://schemas.openxmlformats.org/drawingml/2006/main">
            <a:ext uri="{FF2B5EF4-FFF2-40B4-BE49-F238E27FC236}">
              <a16:creationId xmlns:a16="http://schemas.microsoft.com/office/drawing/2014/main" id="{861F2F7B-5995-4687-9FAD-532DB98CCF4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3133334" cy="304762"/>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829235</xdr:colOff>
      <xdr:row>15</xdr:row>
      <xdr:rowOff>104775</xdr:rowOff>
    </xdr:to>
    <xdr:graphicFrame macro="">
      <xdr:nvGraphicFramePr>
        <xdr:cNvPr id="5345" name="Chart 1">
          <a:extLst>
            <a:ext uri="{FF2B5EF4-FFF2-40B4-BE49-F238E27FC236}">
              <a16:creationId xmlns:a16="http://schemas.microsoft.com/office/drawing/2014/main" id="{00000000-0008-0000-0500-0000E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20</xdr:row>
      <xdr:rowOff>0</xdr:rowOff>
    </xdr:from>
    <xdr:to>
      <xdr:col>8</xdr:col>
      <xdr:colOff>485775</xdr:colOff>
      <xdr:row>35</xdr:row>
      <xdr:rowOff>0</xdr:rowOff>
    </xdr:to>
    <xdr:graphicFrame macro="">
      <xdr:nvGraphicFramePr>
        <xdr:cNvPr id="5346" name="Chart 2">
          <a:extLst>
            <a:ext uri="{FF2B5EF4-FFF2-40B4-BE49-F238E27FC236}">
              <a16:creationId xmlns:a16="http://schemas.microsoft.com/office/drawing/2014/main" id="{00000000-0008-0000-0500-0000E2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45720</xdr:colOff>
      <xdr:row>35</xdr:row>
      <xdr:rowOff>78105</xdr:rowOff>
    </xdr:from>
    <xdr:to>
      <xdr:col>8</xdr:col>
      <xdr:colOff>453955</xdr:colOff>
      <xdr:row>38</xdr:row>
      <xdr:rowOff>228539</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45720" y="7036958"/>
          <a:ext cx="8616427" cy="833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decrease in fund</a:t>
          </a:r>
          <a:r>
            <a:rPr lang="en-US" sz="1100" baseline="0"/>
            <a:t> balance was expected.  Accumulated funds were used for capital improvements., including street improvements.  This is consistent with the City's long-term goal to utilize a "pay-as-you-go" system rather than issuing debt for capital needs.   The largest portion of fund balance is primarily restricted or committed for future capital projects and improvements.</a:t>
          </a:r>
          <a:endParaRPr lang="en-US" sz="1100"/>
        </a:p>
      </xdr:txBody>
    </xdr:sp>
    <xdr:clientData/>
  </xdr:twoCellAnchor>
  <xdr:twoCellAnchor>
    <xdr:from>
      <xdr:col>0</xdr:col>
      <xdr:colOff>28575</xdr:colOff>
      <xdr:row>20</xdr:row>
      <xdr:rowOff>19050</xdr:rowOff>
    </xdr:from>
    <xdr:to>
      <xdr:col>4</xdr:col>
      <xdr:colOff>800100</xdr:colOff>
      <xdr:row>35</xdr:row>
      <xdr:rowOff>19050</xdr:rowOff>
    </xdr:to>
    <xdr:graphicFrame macro="">
      <xdr:nvGraphicFramePr>
        <xdr:cNvPr id="5348" name="Chart 6">
          <a:extLst>
            <a:ext uri="{FF2B5EF4-FFF2-40B4-BE49-F238E27FC236}">
              <a16:creationId xmlns:a16="http://schemas.microsoft.com/office/drawing/2014/main" id="{00000000-0008-0000-0500-0000E4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142875</xdr:colOff>
      <xdr:row>16</xdr:row>
      <xdr:rowOff>152400</xdr:rowOff>
    </xdr:to>
    <xdr:graphicFrame macro="">
      <xdr:nvGraphicFramePr>
        <xdr:cNvPr id="6507" name="Chart 2">
          <a:extLst>
            <a:ext uri="{FF2B5EF4-FFF2-40B4-BE49-F238E27FC236}">
              <a16:creationId xmlns:a16="http://schemas.microsoft.com/office/drawing/2014/main" id="{00000000-0008-0000-0600-00006B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1</xdr:row>
      <xdr:rowOff>161925</xdr:rowOff>
    </xdr:from>
    <xdr:to>
      <xdr:col>9</xdr:col>
      <xdr:colOff>57150</xdr:colOff>
      <xdr:row>16</xdr:row>
      <xdr:rowOff>161925</xdr:rowOff>
    </xdr:to>
    <xdr:graphicFrame macro="">
      <xdr:nvGraphicFramePr>
        <xdr:cNvPr id="6508" name="Chart 3">
          <a:extLst>
            <a:ext uri="{FF2B5EF4-FFF2-40B4-BE49-F238E27FC236}">
              <a16:creationId xmlns:a16="http://schemas.microsoft.com/office/drawing/2014/main" id="{00000000-0008-0000-0600-00006C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0</xdr:rowOff>
    </xdr:from>
    <xdr:to>
      <xdr:col>8</xdr:col>
      <xdr:colOff>560294</xdr:colOff>
      <xdr:row>33</xdr:row>
      <xdr:rowOff>0</xdr:rowOff>
    </xdr:to>
    <xdr:graphicFrame macro="">
      <xdr:nvGraphicFramePr>
        <xdr:cNvPr id="6509" name="Chart 5">
          <a:extLst>
            <a:ext uri="{FF2B5EF4-FFF2-40B4-BE49-F238E27FC236}">
              <a16:creationId xmlns:a16="http://schemas.microsoft.com/office/drawing/2014/main" id="{00000000-0008-0000-0600-00006D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xdr:colOff>
      <xdr:row>18</xdr:row>
      <xdr:rowOff>38100</xdr:rowOff>
    </xdr:from>
    <xdr:to>
      <xdr:col>16</xdr:col>
      <xdr:colOff>0</xdr:colOff>
      <xdr:row>33</xdr:row>
      <xdr:rowOff>38100</xdr:rowOff>
    </xdr:to>
    <xdr:graphicFrame macro="">
      <xdr:nvGraphicFramePr>
        <xdr:cNvPr id="6510" name="Chart 6">
          <a:extLst>
            <a:ext uri="{FF2B5EF4-FFF2-40B4-BE49-F238E27FC236}">
              <a16:creationId xmlns:a16="http://schemas.microsoft.com/office/drawing/2014/main" id="{00000000-0008-0000-0600-00006E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30480</xdr:colOff>
      <xdr:row>33</xdr:row>
      <xdr:rowOff>3586</xdr:rowOff>
    </xdr:from>
    <xdr:to>
      <xdr:col>15</xdr:col>
      <xdr:colOff>963945</xdr:colOff>
      <xdr:row>36</xdr:row>
      <xdr:rowOff>266683</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0480" y="6297706"/>
          <a:ext cx="10008317"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pension liability</a:t>
          </a:r>
          <a:r>
            <a:rPr lang="en-US" sz="1100" baseline="0"/>
            <a:t> is 58% funded, up 6 percent from the prior year.  The liability for retiree health care (OPEB) is 43.3% funded, up 6.7 percent from the prior year. The City contributed additonal funds beyond the required amounts to both the pension and OPEB plans.  </a:t>
          </a:r>
          <a:r>
            <a:rPr lang="en-US" sz="1100" baseline="0">
              <a:solidFill>
                <a:schemeClr val="dk1"/>
              </a:solidFill>
              <a:latin typeface="+mn-lt"/>
              <a:ea typeface="+mn-ea"/>
              <a:cs typeface="+mn-cs"/>
            </a:rPr>
            <a:t>he City uses a pay-as-you-go system rather than issue debt whenever possible.    No new debt was issued in 2017.  Employee compensated absences remains relatively consistent from  the prior year.</a:t>
          </a:r>
          <a:endParaRPr lang="en-US" sz="1100"/>
        </a:p>
      </xdr:txBody>
    </xdr:sp>
    <xdr:clientData/>
  </xdr:twoCellAnchor>
  <xdr:twoCellAnchor>
    <xdr:from>
      <xdr:col>9</xdr:col>
      <xdr:colOff>85725</xdr:colOff>
      <xdr:row>1</xdr:row>
      <xdr:rowOff>171450</xdr:rowOff>
    </xdr:from>
    <xdr:to>
      <xdr:col>12</xdr:col>
      <xdr:colOff>438150</xdr:colOff>
      <xdr:row>16</xdr:row>
      <xdr:rowOff>152400</xdr:rowOff>
    </xdr:to>
    <xdr:graphicFrame macro="">
      <xdr:nvGraphicFramePr>
        <xdr:cNvPr id="6512" name="Chart 7">
          <a:extLst>
            <a:ext uri="{FF2B5EF4-FFF2-40B4-BE49-F238E27FC236}">
              <a16:creationId xmlns:a16="http://schemas.microsoft.com/office/drawing/2014/main" id="{00000000-0008-0000-0600-000070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457200</xdr:colOff>
      <xdr:row>1</xdr:row>
      <xdr:rowOff>171450</xdr:rowOff>
    </xdr:from>
    <xdr:to>
      <xdr:col>15</xdr:col>
      <xdr:colOff>962025</xdr:colOff>
      <xdr:row>16</xdr:row>
      <xdr:rowOff>161925</xdr:rowOff>
    </xdr:to>
    <xdr:graphicFrame macro="">
      <xdr:nvGraphicFramePr>
        <xdr:cNvPr id="6513" name="Chart 7">
          <a:extLst>
            <a:ext uri="{FF2B5EF4-FFF2-40B4-BE49-F238E27FC236}">
              <a16:creationId xmlns:a16="http://schemas.microsoft.com/office/drawing/2014/main" id="{00000000-0008-0000-0600-000071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680"/>
  <sheetViews>
    <sheetView workbookViewId="0"/>
  </sheetViews>
  <sheetFormatPr defaultRowHeight="15" x14ac:dyDescent="0.25"/>
  <sheetData>
    <row r="1" spans="1:1" x14ac:dyDescent="0.25">
      <c r="A1" t="s">
        <v>308</v>
      </c>
    </row>
    <row r="2" spans="1:1" x14ac:dyDescent="0.25">
      <c r="A2">
        <v>226</v>
      </c>
    </row>
    <row r="3" spans="1:1" x14ac:dyDescent="0.25">
      <c r="A3" t="s">
        <v>309</v>
      </c>
    </row>
    <row r="4" spans="1:1" x14ac:dyDescent="0.25">
      <c r="A4">
        <v>2011</v>
      </c>
    </row>
    <row r="5" spans="1:1" x14ac:dyDescent="0.25">
      <c r="A5" t="s">
        <v>310</v>
      </c>
    </row>
    <row r="6" spans="1:1" x14ac:dyDescent="0.25">
      <c r="A6" t="s">
        <v>311</v>
      </c>
    </row>
    <row r="7" spans="1:1" x14ac:dyDescent="0.25">
      <c r="A7">
        <v>5184152</v>
      </c>
    </row>
    <row r="8" spans="1:1" x14ac:dyDescent="0.25">
      <c r="A8" t="s">
        <v>312</v>
      </c>
    </row>
    <row r="9" spans="1:1" x14ac:dyDescent="0.25">
      <c r="A9" t="s">
        <v>313</v>
      </c>
    </row>
    <row r="10" spans="1:1" x14ac:dyDescent="0.25">
      <c r="A10">
        <v>5430977</v>
      </c>
    </row>
    <row r="11" spans="1:1" x14ac:dyDescent="0.25">
      <c r="A11" t="s">
        <v>314</v>
      </c>
    </row>
    <row r="12" spans="1:1" x14ac:dyDescent="0.25">
      <c r="A12" t="s">
        <v>315</v>
      </c>
    </row>
    <row r="13" spans="1:1" x14ac:dyDescent="0.25">
      <c r="A13">
        <v>5443841</v>
      </c>
    </row>
    <row r="14" spans="1:1" x14ac:dyDescent="0.25">
      <c r="A14" t="s">
        <v>316</v>
      </c>
    </row>
    <row r="15" spans="1:1" x14ac:dyDescent="0.25">
      <c r="A15" t="s">
        <v>317</v>
      </c>
    </row>
    <row r="16" spans="1:1" x14ac:dyDescent="0.25">
      <c r="A16">
        <v>5123838</v>
      </c>
    </row>
    <row r="17" spans="1:1" x14ac:dyDescent="0.25">
      <c r="A17" t="s">
        <v>318</v>
      </c>
    </row>
    <row r="18" spans="1:1" x14ac:dyDescent="0.25">
      <c r="A18" t="s">
        <v>319</v>
      </c>
    </row>
    <row r="19" spans="1:1" x14ac:dyDescent="0.25">
      <c r="A19">
        <v>4638561</v>
      </c>
    </row>
    <row r="20" spans="1:1" x14ac:dyDescent="0.25">
      <c r="A20" t="s">
        <v>320</v>
      </c>
    </row>
    <row r="21" spans="1:1" x14ac:dyDescent="0.25">
      <c r="A21" t="s">
        <v>321</v>
      </c>
    </row>
    <row r="22" spans="1:1" x14ac:dyDescent="0.25">
      <c r="A22">
        <v>322969</v>
      </c>
    </row>
    <row r="23" spans="1:1" x14ac:dyDescent="0.25">
      <c r="A23" t="s">
        <v>322</v>
      </c>
    </row>
    <row r="24" spans="1:1" x14ac:dyDescent="0.25">
      <c r="A24" t="s">
        <v>323</v>
      </c>
    </row>
    <row r="25" spans="1:1" x14ac:dyDescent="0.25">
      <c r="A25">
        <v>263280</v>
      </c>
    </row>
    <row r="26" spans="1:1" x14ac:dyDescent="0.25">
      <c r="A26" t="s">
        <v>324</v>
      </c>
    </row>
    <row r="27" spans="1:1" x14ac:dyDescent="0.25">
      <c r="A27" t="s">
        <v>325</v>
      </c>
    </row>
    <row r="28" spans="1:1" x14ac:dyDescent="0.25">
      <c r="A28">
        <v>208393</v>
      </c>
    </row>
    <row r="29" spans="1:1" x14ac:dyDescent="0.25">
      <c r="A29" t="s">
        <v>326</v>
      </c>
    </row>
    <row r="30" spans="1:1" x14ac:dyDescent="0.25">
      <c r="A30" t="s">
        <v>327</v>
      </c>
    </row>
    <row r="31" spans="1:1" x14ac:dyDescent="0.25">
      <c r="A31">
        <v>240634</v>
      </c>
    </row>
    <row r="32" spans="1:1" x14ac:dyDescent="0.25">
      <c r="A32" t="s">
        <v>328</v>
      </c>
    </row>
    <row r="33" spans="1:1" x14ac:dyDescent="0.25">
      <c r="A33" t="s">
        <v>329</v>
      </c>
    </row>
    <row r="34" spans="1:1" x14ac:dyDescent="0.25">
      <c r="A34">
        <v>276334</v>
      </c>
    </row>
    <row r="35" spans="1:1" x14ac:dyDescent="0.25">
      <c r="A35" t="s">
        <v>330</v>
      </c>
    </row>
    <row r="36" spans="1:1" x14ac:dyDescent="0.25">
      <c r="A36" t="s">
        <v>331</v>
      </c>
    </row>
    <row r="37" spans="1:1" x14ac:dyDescent="0.25">
      <c r="A37">
        <v>99655</v>
      </c>
    </row>
    <row r="38" spans="1:1" x14ac:dyDescent="0.25">
      <c r="A38" t="s">
        <v>332</v>
      </c>
    </row>
    <row r="39" spans="1:1" x14ac:dyDescent="0.25">
      <c r="A39" t="s">
        <v>333</v>
      </c>
    </row>
    <row r="40" spans="1:1" x14ac:dyDescent="0.25">
      <c r="A40">
        <v>6000</v>
      </c>
    </row>
    <row r="41" spans="1:1" x14ac:dyDescent="0.25">
      <c r="A41" t="s">
        <v>334</v>
      </c>
    </row>
    <row r="42" spans="1:1" x14ac:dyDescent="0.25">
      <c r="A42" t="s">
        <v>335</v>
      </c>
    </row>
    <row r="43" spans="1:1" x14ac:dyDescent="0.25">
      <c r="A43">
        <v>177515</v>
      </c>
    </row>
    <row r="44" spans="1:1" x14ac:dyDescent="0.25">
      <c r="A44" t="s">
        <v>336</v>
      </c>
    </row>
    <row r="45" spans="1:1" x14ac:dyDescent="0.25">
      <c r="A45" t="s">
        <v>337</v>
      </c>
    </row>
    <row r="46" spans="1:1" x14ac:dyDescent="0.25">
      <c r="A46">
        <v>35444</v>
      </c>
    </row>
    <row r="47" spans="1:1" x14ac:dyDescent="0.25">
      <c r="A47" t="s">
        <v>338</v>
      </c>
    </row>
    <row r="48" spans="1:1" x14ac:dyDescent="0.25">
      <c r="A48" t="s">
        <v>339</v>
      </c>
    </row>
    <row r="49" spans="1:1" x14ac:dyDescent="0.25">
      <c r="A49">
        <v>46742</v>
      </c>
    </row>
    <row r="50" spans="1:1" x14ac:dyDescent="0.25">
      <c r="A50" t="s">
        <v>340</v>
      </c>
    </row>
    <row r="51" spans="1:1" x14ac:dyDescent="0.25">
      <c r="A51" t="s">
        <v>341</v>
      </c>
    </row>
    <row r="52" spans="1:1" x14ac:dyDescent="0.25">
      <c r="A52">
        <v>970357</v>
      </c>
    </row>
    <row r="53" spans="1:1" x14ac:dyDescent="0.25">
      <c r="A53" t="s">
        <v>342</v>
      </c>
    </row>
    <row r="54" spans="1:1" x14ac:dyDescent="0.25">
      <c r="A54" t="s">
        <v>343</v>
      </c>
    </row>
    <row r="55" spans="1:1" x14ac:dyDescent="0.25">
      <c r="A55">
        <v>1342076</v>
      </c>
    </row>
    <row r="56" spans="1:1" x14ac:dyDescent="0.25">
      <c r="A56" t="s">
        <v>344</v>
      </c>
    </row>
    <row r="57" spans="1:1" x14ac:dyDescent="0.25">
      <c r="A57" t="s">
        <v>345</v>
      </c>
    </row>
    <row r="58" spans="1:1" x14ac:dyDescent="0.25">
      <c r="A58">
        <v>1669503</v>
      </c>
    </row>
    <row r="59" spans="1:1" x14ac:dyDescent="0.25">
      <c r="A59" t="s">
        <v>346</v>
      </c>
    </row>
    <row r="60" spans="1:1" x14ac:dyDescent="0.25">
      <c r="A60" t="s">
        <v>347</v>
      </c>
    </row>
    <row r="61" spans="1:1" x14ac:dyDescent="0.25">
      <c r="A61">
        <v>867962</v>
      </c>
    </row>
    <row r="62" spans="1:1" x14ac:dyDescent="0.25">
      <c r="A62" t="s">
        <v>348</v>
      </c>
    </row>
    <row r="63" spans="1:1" x14ac:dyDescent="0.25">
      <c r="A63" t="s">
        <v>349</v>
      </c>
    </row>
    <row r="64" spans="1:1" x14ac:dyDescent="0.25">
      <c r="A64">
        <v>864881</v>
      </c>
    </row>
    <row r="65" spans="1:1" x14ac:dyDescent="0.25">
      <c r="A65" t="s">
        <v>350</v>
      </c>
    </row>
    <row r="66" spans="1:1" x14ac:dyDescent="0.25">
      <c r="A66" t="s">
        <v>351</v>
      </c>
    </row>
    <row r="67" spans="1:1" x14ac:dyDescent="0.25">
      <c r="A67">
        <v>351441</v>
      </c>
    </row>
    <row r="68" spans="1:1" x14ac:dyDescent="0.25">
      <c r="A68" t="s">
        <v>352</v>
      </c>
    </row>
    <row r="69" spans="1:1" x14ac:dyDescent="0.25">
      <c r="A69" t="s">
        <v>353</v>
      </c>
    </row>
    <row r="70" spans="1:1" x14ac:dyDescent="0.25">
      <c r="A70">
        <v>357895</v>
      </c>
    </row>
    <row r="71" spans="1:1" x14ac:dyDescent="0.25">
      <c r="A71" t="s">
        <v>354</v>
      </c>
    </row>
    <row r="72" spans="1:1" x14ac:dyDescent="0.25">
      <c r="A72" t="s">
        <v>355</v>
      </c>
    </row>
    <row r="73" spans="1:1" x14ac:dyDescent="0.25">
      <c r="A73">
        <v>337206</v>
      </c>
    </row>
    <row r="74" spans="1:1" x14ac:dyDescent="0.25">
      <c r="A74" t="s">
        <v>356</v>
      </c>
    </row>
    <row r="75" spans="1:1" x14ac:dyDescent="0.25">
      <c r="A75" t="s">
        <v>357</v>
      </c>
    </row>
    <row r="76" spans="1:1" x14ac:dyDescent="0.25">
      <c r="A76">
        <v>366713</v>
      </c>
    </row>
    <row r="77" spans="1:1" x14ac:dyDescent="0.25">
      <c r="A77" t="s">
        <v>358</v>
      </c>
    </row>
    <row r="78" spans="1:1" x14ac:dyDescent="0.25">
      <c r="A78" t="s">
        <v>359</v>
      </c>
    </row>
    <row r="79" spans="1:1" x14ac:dyDescent="0.25">
      <c r="A79">
        <v>370444</v>
      </c>
    </row>
    <row r="80" spans="1:1" x14ac:dyDescent="0.25">
      <c r="A80" t="s">
        <v>360</v>
      </c>
    </row>
    <row r="81" spans="1:1" x14ac:dyDescent="0.25">
      <c r="A81" t="s">
        <v>361</v>
      </c>
    </row>
    <row r="82" spans="1:1" x14ac:dyDescent="0.25">
      <c r="A82">
        <v>84867</v>
      </c>
    </row>
    <row r="83" spans="1:1" x14ac:dyDescent="0.25">
      <c r="A83" t="s">
        <v>362</v>
      </c>
    </row>
    <row r="84" spans="1:1" x14ac:dyDescent="0.25">
      <c r="A84" t="s">
        <v>363</v>
      </c>
    </row>
    <row r="85" spans="1:1" x14ac:dyDescent="0.25">
      <c r="A85">
        <v>97861</v>
      </c>
    </row>
    <row r="86" spans="1:1" x14ac:dyDescent="0.25">
      <c r="A86" t="s">
        <v>364</v>
      </c>
    </row>
    <row r="87" spans="1:1" x14ac:dyDescent="0.25">
      <c r="A87" t="s">
        <v>365</v>
      </c>
    </row>
    <row r="88" spans="1:1" x14ac:dyDescent="0.25">
      <c r="A88">
        <v>94732</v>
      </c>
    </row>
    <row r="89" spans="1:1" x14ac:dyDescent="0.25">
      <c r="A89" t="s">
        <v>366</v>
      </c>
    </row>
    <row r="90" spans="1:1" x14ac:dyDescent="0.25">
      <c r="A90" t="s">
        <v>367</v>
      </c>
    </row>
    <row r="91" spans="1:1" x14ac:dyDescent="0.25">
      <c r="A91">
        <v>48087</v>
      </c>
    </row>
    <row r="92" spans="1:1" x14ac:dyDescent="0.25">
      <c r="A92" t="s">
        <v>368</v>
      </c>
    </row>
    <row r="93" spans="1:1" x14ac:dyDescent="0.25">
      <c r="A93" t="s">
        <v>369</v>
      </c>
    </row>
    <row r="94" spans="1:1" x14ac:dyDescent="0.25">
      <c r="A94">
        <v>56195</v>
      </c>
    </row>
    <row r="95" spans="1:1" x14ac:dyDescent="0.25">
      <c r="A95" t="s">
        <v>370</v>
      </c>
    </row>
    <row r="96" spans="1:1" x14ac:dyDescent="0.25">
      <c r="A96" t="s">
        <v>371</v>
      </c>
    </row>
    <row r="97" spans="1:1" x14ac:dyDescent="0.25">
      <c r="A97">
        <v>1089148</v>
      </c>
    </row>
    <row r="98" spans="1:1" x14ac:dyDescent="0.25">
      <c r="A98" t="s">
        <v>372</v>
      </c>
    </row>
    <row r="99" spans="1:1" x14ac:dyDescent="0.25">
      <c r="A99" t="s">
        <v>373</v>
      </c>
    </row>
    <row r="100" spans="1:1" x14ac:dyDescent="0.25">
      <c r="A100">
        <v>1101856</v>
      </c>
    </row>
    <row r="101" spans="1:1" x14ac:dyDescent="0.25">
      <c r="A101" t="s">
        <v>374</v>
      </c>
    </row>
    <row r="102" spans="1:1" x14ac:dyDescent="0.25">
      <c r="A102" t="s">
        <v>375</v>
      </c>
    </row>
    <row r="103" spans="1:1" x14ac:dyDescent="0.25">
      <c r="A103">
        <v>950544</v>
      </c>
    </row>
    <row r="104" spans="1:1" x14ac:dyDescent="0.25">
      <c r="A104" t="s">
        <v>376</v>
      </c>
    </row>
    <row r="105" spans="1:1" x14ac:dyDescent="0.25">
      <c r="A105" t="s">
        <v>377</v>
      </c>
    </row>
    <row r="106" spans="1:1" x14ac:dyDescent="0.25">
      <c r="A106">
        <v>840464</v>
      </c>
    </row>
    <row r="107" spans="1:1" x14ac:dyDescent="0.25">
      <c r="A107" t="s">
        <v>378</v>
      </c>
    </row>
    <row r="108" spans="1:1" x14ac:dyDescent="0.25">
      <c r="A108" t="s">
        <v>379</v>
      </c>
    </row>
    <row r="109" spans="1:1" x14ac:dyDescent="0.25">
      <c r="A109">
        <v>796500</v>
      </c>
    </row>
    <row r="110" spans="1:1" x14ac:dyDescent="0.25">
      <c r="A110" t="s">
        <v>380</v>
      </c>
    </row>
    <row r="111" spans="1:1" x14ac:dyDescent="0.25">
      <c r="A111" t="s">
        <v>381</v>
      </c>
    </row>
    <row r="112" spans="1:1" x14ac:dyDescent="0.25">
      <c r="A112">
        <v>1145991</v>
      </c>
    </row>
    <row r="113" spans="1:1" x14ac:dyDescent="0.25">
      <c r="A113" t="s">
        <v>382</v>
      </c>
    </row>
    <row r="114" spans="1:1" x14ac:dyDescent="0.25">
      <c r="A114" t="s">
        <v>383</v>
      </c>
    </row>
    <row r="115" spans="1:1" x14ac:dyDescent="0.25">
      <c r="A115">
        <v>1161145</v>
      </c>
    </row>
    <row r="116" spans="1:1" x14ac:dyDescent="0.25">
      <c r="A116" t="s">
        <v>384</v>
      </c>
    </row>
    <row r="117" spans="1:1" x14ac:dyDescent="0.25">
      <c r="A117" t="s">
        <v>385</v>
      </c>
    </row>
    <row r="118" spans="1:1" x14ac:dyDescent="0.25">
      <c r="A118">
        <v>998942</v>
      </c>
    </row>
    <row r="119" spans="1:1" x14ac:dyDescent="0.25">
      <c r="A119" t="s">
        <v>386</v>
      </c>
    </row>
    <row r="120" spans="1:1" x14ac:dyDescent="0.25">
      <c r="A120" t="s">
        <v>387</v>
      </c>
    </row>
    <row r="121" spans="1:1" x14ac:dyDescent="0.25">
      <c r="A121">
        <v>668406</v>
      </c>
    </row>
    <row r="122" spans="1:1" x14ac:dyDescent="0.25">
      <c r="A122" t="s">
        <v>388</v>
      </c>
    </row>
    <row r="123" spans="1:1" x14ac:dyDescent="0.25">
      <c r="A123" t="s">
        <v>389</v>
      </c>
    </row>
    <row r="124" spans="1:1" x14ac:dyDescent="0.25">
      <c r="A124">
        <v>791742</v>
      </c>
    </row>
    <row r="125" spans="1:1" x14ac:dyDescent="0.25">
      <c r="A125" t="s">
        <v>390</v>
      </c>
    </row>
    <row r="126" spans="1:1" x14ac:dyDescent="0.25">
      <c r="A126" t="s">
        <v>391</v>
      </c>
    </row>
    <row r="127" spans="1:1" x14ac:dyDescent="0.25">
      <c r="A127">
        <v>2235092</v>
      </c>
    </row>
    <row r="128" spans="1:1" x14ac:dyDescent="0.25">
      <c r="A128" t="s">
        <v>392</v>
      </c>
    </row>
    <row r="129" spans="1:1" x14ac:dyDescent="0.25">
      <c r="A129" t="s">
        <v>393</v>
      </c>
    </row>
    <row r="130" spans="1:1" x14ac:dyDescent="0.25">
      <c r="A130">
        <v>2284292</v>
      </c>
    </row>
    <row r="131" spans="1:1" x14ac:dyDescent="0.25">
      <c r="A131" t="s">
        <v>394</v>
      </c>
    </row>
    <row r="132" spans="1:1" x14ac:dyDescent="0.25">
      <c r="A132" t="s">
        <v>395</v>
      </c>
    </row>
    <row r="133" spans="1:1" x14ac:dyDescent="0.25">
      <c r="A133">
        <v>2388360</v>
      </c>
    </row>
    <row r="134" spans="1:1" x14ac:dyDescent="0.25">
      <c r="A134" t="s">
        <v>396</v>
      </c>
    </row>
    <row r="135" spans="1:1" x14ac:dyDescent="0.25">
      <c r="A135" t="s">
        <v>397</v>
      </c>
    </row>
    <row r="136" spans="1:1" x14ac:dyDescent="0.25">
      <c r="A136">
        <v>2054227</v>
      </c>
    </row>
    <row r="137" spans="1:1" x14ac:dyDescent="0.25">
      <c r="A137" t="s">
        <v>398</v>
      </c>
    </row>
    <row r="138" spans="1:1" x14ac:dyDescent="0.25">
      <c r="A138" t="s">
        <v>399</v>
      </c>
    </row>
    <row r="139" spans="1:1" x14ac:dyDescent="0.25">
      <c r="A139">
        <v>1770859</v>
      </c>
    </row>
    <row r="140" spans="1:1" x14ac:dyDescent="0.25">
      <c r="A140" t="s">
        <v>400</v>
      </c>
    </row>
    <row r="141" spans="1:1" x14ac:dyDescent="0.25">
      <c r="A141" t="s">
        <v>401</v>
      </c>
    </row>
    <row r="142" spans="1:1" x14ac:dyDescent="0.25">
      <c r="A142">
        <v>2752375</v>
      </c>
    </row>
    <row r="143" spans="1:1" x14ac:dyDescent="0.25">
      <c r="A143" t="s">
        <v>402</v>
      </c>
    </row>
    <row r="144" spans="1:1" x14ac:dyDescent="0.25">
      <c r="A144" t="s">
        <v>403</v>
      </c>
    </row>
    <row r="145" spans="1:1" x14ac:dyDescent="0.25">
      <c r="A145">
        <v>2813636</v>
      </c>
    </row>
    <row r="146" spans="1:1" x14ac:dyDescent="0.25">
      <c r="A146" t="s">
        <v>404</v>
      </c>
    </row>
    <row r="147" spans="1:1" x14ac:dyDescent="0.25">
      <c r="A147" t="s">
        <v>405</v>
      </c>
    </row>
    <row r="148" spans="1:1" x14ac:dyDescent="0.25">
      <c r="A148">
        <v>2842632</v>
      </c>
    </row>
    <row r="149" spans="1:1" x14ac:dyDescent="0.25">
      <c r="A149" t="s">
        <v>406</v>
      </c>
    </row>
    <row r="150" spans="1:1" x14ac:dyDescent="0.25">
      <c r="A150" t="s">
        <v>407</v>
      </c>
    </row>
    <row r="151" spans="1:1" x14ac:dyDescent="0.25">
      <c r="A151">
        <v>2721818</v>
      </c>
    </row>
    <row r="152" spans="1:1" x14ac:dyDescent="0.25">
      <c r="A152" t="s">
        <v>408</v>
      </c>
    </row>
    <row r="153" spans="1:1" x14ac:dyDescent="0.25">
      <c r="A153" t="s">
        <v>409</v>
      </c>
    </row>
    <row r="154" spans="1:1" x14ac:dyDescent="0.25">
      <c r="A154">
        <v>2728367</v>
      </c>
    </row>
    <row r="155" spans="1:1" x14ac:dyDescent="0.25">
      <c r="A155" t="s">
        <v>410</v>
      </c>
    </row>
    <row r="156" spans="1:1" x14ac:dyDescent="0.25">
      <c r="A156" t="s">
        <v>411</v>
      </c>
    </row>
    <row r="157" spans="1:1" x14ac:dyDescent="0.25">
      <c r="A157">
        <v>0</v>
      </c>
    </row>
    <row r="158" spans="1:1" x14ac:dyDescent="0.25">
      <c r="A158" t="s">
        <v>412</v>
      </c>
    </row>
    <row r="159" spans="1:1" x14ac:dyDescent="0.25">
      <c r="A159" t="s">
        <v>413</v>
      </c>
    </row>
    <row r="160" spans="1:1" x14ac:dyDescent="0.25">
      <c r="A160">
        <v>0</v>
      </c>
    </row>
    <row r="161" spans="1:1" x14ac:dyDescent="0.25">
      <c r="A161" t="s">
        <v>414</v>
      </c>
    </row>
    <row r="162" spans="1:1" x14ac:dyDescent="0.25">
      <c r="A162" t="s">
        <v>415</v>
      </c>
    </row>
    <row r="163" spans="1:1" x14ac:dyDescent="0.25">
      <c r="A163">
        <v>0</v>
      </c>
    </row>
    <row r="164" spans="1:1" x14ac:dyDescent="0.25">
      <c r="A164" t="s">
        <v>416</v>
      </c>
    </row>
    <row r="165" spans="1:1" x14ac:dyDescent="0.25">
      <c r="A165" t="s">
        <v>417</v>
      </c>
    </row>
    <row r="166" spans="1:1" x14ac:dyDescent="0.25">
      <c r="A166">
        <v>0</v>
      </c>
    </row>
    <row r="167" spans="1:1" x14ac:dyDescent="0.25">
      <c r="A167" t="s">
        <v>418</v>
      </c>
    </row>
    <row r="168" spans="1:1" x14ac:dyDescent="0.25">
      <c r="A168" t="s">
        <v>419</v>
      </c>
    </row>
    <row r="169" spans="1:1" x14ac:dyDescent="0.25">
      <c r="A169">
        <v>0</v>
      </c>
    </row>
    <row r="170" spans="1:1" x14ac:dyDescent="0.25">
      <c r="A170" t="s">
        <v>420</v>
      </c>
    </row>
    <row r="171" spans="1:1" x14ac:dyDescent="0.25">
      <c r="A171" t="s">
        <v>421</v>
      </c>
    </row>
    <row r="172" spans="1:1" x14ac:dyDescent="0.25">
      <c r="A172">
        <v>943273</v>
      </c>
    </row>
    <row r="173" spans="1:1" x14ac:dyDescent="0.25">
      <c r="A173" t="s">
        <v>422</v>
      </c>
    </row>
    <row r="174" spans="1:1" x14ac:dyDescent="0.25">
      <c r="A174" t="s">
        <v>423</v>
      </c>
    </row>
    <row r="175" spans="1:1" x14ac:dyDescent="0.25">
      <c r="A175">
        <v>1799050</v>
      </c>
    </row>
    <row r="176" spans="1:1" x14ac:dyDescent="0.25">
      <c r="A176" t="s">
        <v>424</v>
      </c>
    </row>
    <row r="177" spans="1:1" x14ac:dyDescent="0.25">
      <c r="A177" t="s">
        <v>425</v>
      </c>
    </row>
    <row r="178" spans="1:1" x14ac:dyDescent="0.25">
      <c r="A178">
        <v>2082325</v>
      </c>
    </row>
    <row r="179" spans="1:1" x14ac:dyDescent="0.25">
      <c r="A179" t="s">
        <v>426</v>
      </c>
    </row>
    <row r="180" spans="1:1" x14ac:dyDescent="0.25">
      <c r="A180" t="s">
        <v>427</v>
      </c>
    </row>
    <row r="181" spans="1:1" x14ac:dyDescent="0.25">
      <c r="A181">
        <v>1498238</v>
      </c>
    </row>
    <row r="182" spans="1:1" x14ac:dyDescent="0.25">
      <c r="A182" t="s">
        <v>428</v>
      </c>
    </row>
    <row r="183" spans="1:1" x14ac:dyDescent="0.25">
      <c r="A183" t="s">
        <v>429</v>
      </c>
    </row>
    <row r="184" spans="1:1" x14ac:dyDescent="0.25">
      <c r="A184">
        <v>1562694</v>
      </c>
    </row>
    <row r="185" spans="1:1" x14ac:dyDescent="0.25">
      <c r="A185" t="s">
        <v>430</v>
      </c>
    </row>
    <row r="186" spans="1:1" x14ac:dyDescent="0.25">
      <c r="A186" t="s">
        <v>431</v>
      </c>
    </row>
    <row r="187" spans="1:1" x14ac:dyDescent="0.25">
      <c r="A187">
        <v>228707</v>
      </c>
    </row>
    <row r="188" spans="1:1" x14ac:dyDescent="0.25">
      <c r="A188" t="s">
        <v>432</v>
      </c>
    </row>
    <row r="189" spans="1:1" x14ac:dyDescent="0.25">
      <c r="A189" t="s">
        <v>433</v>
      </c>
    </row>
    <row r="190" spans="1:1" x14ac:dyDescent="0.25">
      <c r="A190">
        <v>543730</v>
      </c>
    </row>
    <row r="191" spans="1:1" x14ac:dyDescent="0.25">
      <c r="A191" t="s">
        <v>434</v>
      </c>
    </row>
    <row r="192" spans="1:1" x14ac:dyDescent="0.25">
      <c r="A192" t="s">
        <v>435</v>
      </c>
    </row>
    <row r="193" spans="1:1" x14ac:dyDescent="0.25">
      <c r="A193">
        <v>212619</v>
      </c>
    </row>
    <row r="194" spans="1:1" x14ac:dyDescent="0.25">
      <c r="A194" t="s">
        <v>436</v>
      </c>
    </row>
    <row r="195" spans="1:1" x14ac:dyDescent="0.25">
      <c r="A195" t="s">
        <v>437</v>
      </c>
    </row>
    <row r="196" spans="1:1" x14ac:dyDescent="0.25">
      <c r="A196">
        <v>364522</v>
      </c>
    </row>
    <row r="197" spans="1:1" x14ac:dyDescent="0.25">
      <c r="A197" t="s">
        <v>438</v>
      </c>
    </row>
    <row r="198" spans="1:1" x14ac:dyDescent="0.25">
      <c r="A198" t="s">
        <v>439</v>
      </c>
    </row>
    <row r="199" spans="1:1" x14ac:dyDescent="0.25">
      <c r="A199">
        <v>967844</v>
      </c>
    </row>
    <row r="200" spans="1:1" x14ac:dyDescent="0.25">
      <c r="A200" t="s">
        <v>440</v>
      </c>
    </row>
    <row r="201" spans="1:1" x14ac:dyDescent="0.25">
      <c r="A201" t="s">
        <v>441</v>
      </c>
    </row>
    <row r="202" spans="1:1" x14ac:dyDescent="0.25">
      <c r="A202">
        <v>685755</v>
      </c>
    </row>
    <row r="203" spans="1:1" x14ac:dyDescent="0.25">
      <c r="A203" t="s">
        <v>442</v>
      </c>
    </row>
    <row r="204" spans="1:1" x14ac:dyDescent="0.25">
      <c r="A204" t="s">
        <v>443</v>
      </c>
    </row>
    <row r="205" spans="1:1" x14ac:dyDescent="0.25">
      <c r="A205">
        <v>545841</v>
      </c>
    </row>
    <row r="206" spans="1:1" x14ac:dyDescent="0.25">
      <c r="A206" t="s">
        <v>444</v>
      </c>
    </row>
    <row r="207" spans="1:1" x14ac:dyDescent="0.25">
      <c r="A207" t="s">
        <v>445</v>
      </c>
    </row>
    <row r="208" spans="1:1" x14ac:dyDescent="0.25">
      <c r="A208">
        <v>554676</v>
      </c>
    </row>
    <row r="209" spans="1:1" x14ac:dyDescent="0.25">
      <c r="A209" t="s">
        <v>446</v>
      </c>
    </row>
    <row r="210" spans="1:1" x14ac:dyDescent="0.25">
      <c r="A210" t="s">
        <v>447</v>
      </c>
    </row>
    <row r="211" spans="1:1" x14ac:dyDescent="0.25">
      <c r="A211">
        <v>523204</v>
      </c>
    </row>
    <row r="212" spans="1:1" x14ac:dyDescent="0.25">
      <c r="A212" t="s">
        <v>448</v>
      </c>
    </row>
    <row r="213" spans="1:1" x14ac:dyDescent="0.25">
      <c r="A213" t="s">
        <v>449</v>
      </c>
    </row>
    <row r="214" spans="1:1" x14ac:dyDescent="0.25">
      <c r="A214">
        <v>552545</v>
      </c>
    </row>
    <row r="215" spans="1:1" x14ac:dyDescent="0.25">
      <c r="A215" t="s">
        <v>450</v>
      </c>
    </row>
    <row r="216" spans="1:1" x14ac:dyDescent="0.25">
      <c r="A216" t="s">
        <v>451</v>
      </c>
    </row>
    <row r="217" spans="1:1" x14ac:dyDescent="0.25">
      <c r="A217">
        <v>0</v>
      </c>
    </row>
    <row r="218" spans="1:1" x14ac:dyDescent="0.25">
      <c r="A218" t="s">
        <v>452</v>
      </c>
    </row>
    <row r="219" spans="1:1" x14ac:dyDescent="0.25">
      <c r="A219" t="s">
        <v>453</v>
      </c>
    </row>
    <row r="220" spans="1:1" x14ac:dyDescent="0.25">
      <c r="A220">
        <v>0</v>
      </c>
    </row>
    <row r="221" spans="1:1" x14ac:dyDescent="0.25">
      <c r="A221" t="s">
        <v>454</v>
      </c>
    </row>
    <row r="222" spans="1:1" x14ac:dyDescent="0.25">
      <c r="A222" t="s">
        <v>455</v>
      </c>
    </row>
    <row r="223" spans="1:1" x14ac:dyDescent="0.25">
      <c r="A223">
        <v>0</v>
      </c>
    </row>
    <row r="224" spans="1:1" x14ac:dyDescent="0.25">
      <c r="A224" t="s">
        <v>456</v>
      </c>
    </row>
    <row r="225" spans="1:1" x14ac:dyDescent="0.25">
      <c r="A225" t="s">
        <v>457</v>
      </c>
    </row>
    <row r="226" spans="1:1" x14ac:dyDescent="0.25">
      <c r="A226">
        <v>0</v>
      </c>
    </row>
    <row r="227" spans="1:1" x14ac:dyDescent="0.25">
      <c r="A227" t="s">
        <v>458</v>
      </c>
    </row>
    <row r="228" spans="1:1" x14ac:dyDescent="0.25">
      <c r="A228" t="s">
        <v>459</v>
      </c>
    </row>
    <row r="229" spans="1:1" x14ac:dyDescent="0.25">
      <c r="A229">
        <v>0</v>
      </c>
    </row>
    <row r="230" spans="1:1" x14ac:dyDescent="0.25">
      <c r="A230" t="s">
        <v>460</v>
      </c>
    </row>
    <row r="231" spans="1:1" x14ac:dyDescent="0.25">
      <c r="A231" t="s">
        <v>461</v>
      </c>
    </row>
    <row r="232" spans="1:1" x14ac:dyDescent="0.25">
      <c r="A232">
        <v>808706</v>
      </c>
    </row>
    <row r="233" spans="1:1" x14ac:dyDescent="0.25">
      <c r="A233" t="s">
        <v>462</v>
      </c>
    </row>
    <row r="234" spans="1:1" x14ac:dyDescent="0.25">
      <c r="A234" t="s">
        <v>463</v>
      </c>
    </row>
    <row r="235" spans="1:1" x14ac:dyDescent="0.25">
      <c r="A235">
        <v>350389</v>
      </c>
    </row>
    <row r="236" spans="1:1" x14ac:dyDescent="0.25">
      <c r="A236" t="s">
        <v>464</v>
      </c>
    </row>
    <row r="237" spans="1:1" x14ac:dyDescent="0.25">
      <c r="A237" t="s">
        <v>465</v>
      </c>
    </row>
    <row r="238" spans="1:1" x14ac:dyDescent="0.25">
      <c r="A238">
        <v>385579</v>
      </c>
    </row>
    <row r="239" spans="1:1" x14ac:dyDescent="0.25">
      <c r="A239" t="s">
        <v>466</v>
      </c>
    </row>
    <row r="240" spans="1:1" x14ac:dyDescent="0.25">
      <c r="A240" t="s">
        <v>467</v>
      </c>
    </row>
    <row r="241" spans="1:1" x14ac:dyDescent="0.25">
      <c r="A241">
        <v>362675</v>
      </c>
    </row>
    <row r="242" spans="1:1" x14ac:dyDescent="0.25">
      <c r="A242" t="s">
        <v>468</v>
      </c>
    </row>
    <row r="243" spans="1:1" x14ac:dyDescent="0.25">
      <c r="A243" t="s">
        <v>469</v>
      </c>
    </row>
    <row r="244" spans="1:1" x14ac:dyDescent="0.25">
      <c r="A244">
        <v>357393</v>
      </c>
    </row>
    <row r="245" spans="1:1" x14ac:dyDescent="0.25">
      <c r="A245" t="s">
        <v>470</v>
      </c>
    </row>
    <row r="246" spans="1:1" x14ac:dyDescent="0.25">
      <c r="A246" t="s">
        <v>471</v>
      </c>
    </row>
    <row r="247" spans="1:1" x14ac:dyDescent="0.25">
      <c r="A247">
        <v>175640</v>
      </c>
    </row>
    <row r="248" spans="1:1" x14ac:dyDescent="0.25">
      <c r="A248" t="s">
        <v>472</v>
      </c>
    </row>
    <row r="249" spans="1:1" x14ac:dyDescent="0.25">
      <c r="A249" t="s">
        <v>473</v>
      </c>
    </row>
    <row r="250" spans="1:1" x14ac:dyDescent="0.25">
      <c r="A250">
        <v>352942</v>
      </c>
    </row>
    <row r="251" spans="1:1" x14ac:dyDescent="0.25">
      <c r="A251" t="s">
        <v>474</v>
      </c>
    </row>
    <row r="252" spans="1:1" x14ac:dyDescent="0.25">
      <c r="A252" t="s">
        <v>475</v>
      </c>
    </row>
    <row r="253" spans="1:1" x14ac:dyDescent="0.25">
      <c r="A253">
        <v>973790</v>
      </c>
    </row>
    <row r="254" spans="1:1" x14ac:dyDescent="0.25">
      <c r="A254" t="s">
        <v>476</v>
      </c>
    </row>
    <row r="255" spans="1:1" x14ac:dyDescent="0.25">
      <c r="A255" t="s">
        <v>477</v>
      </c>
    </row>
    <row r="256" spans="1:1" x14ac:dyDescent="0.25">
      <c r="A256">
        <v>172315</v>
      </c>
    </row>
    <row r="257" spans="1:1" x14ac:dyDescent="0.25">
      <c r="A257" t="s">
        <v>478</v>
      </c>
    </row>
    <row r="258" spans="1:1" x14ac:dyDescent="0.25">
      <c r="A258" t="s">
        <v>479</v>
      </c>
    </row>
    <row r="259" spans="1:1" x14ac:dyDescent="0.25">
      <c r="A259">
        <v>398879</v>
      </c>
    </row>
    <row r="260" spans="1:1" x14ac:dyDescent="0.25">
      <c r="A260" t="s">
        <v>480</v>
      </c>
    </row>
    <row r="261" spans="1:1" x14ac:dyDescent="0.25">
      <c r="A261" t="s">
        <v>481</v>
      </c>
    </row>
    <row r="262" spans="1:1" x14ac:dyDescent="0.25">
      <c r="A262">
        <v>755900</v>
      </c>
    </row>
    <row r="263" spans="1:1" x14ac:dyDescent="0.25">
      <c r="A263" t="s">
        <v>482</v>
      </c>
    </row>
    <row r="264" spans="1:1" x14ac:dyDescent="0.25">
      <c r="A264" t="s">
        <v>483</v>
      </c>
    </row>
    <row r="265" spans="1:1" x14ac:dyDescent="0.25">
      <c r="A265">
        <v>618954</v>
      </c>
    </row>
    <row r="266" spans="1:1" x14ac:dyDescent="0.25">
      <c r="A266" t="s">
        <v>484</v>
      </c>
    </row>
    <row r="267" spans="1:1" x14ac:dyDescent="0.25">
      <c r="A267" t="s">
        <v>485</v>
      </c>
    </row>
    <row r="268" spans="1:1" x14ac:dyDescent="0.25">
      <c r="A268">
        <v>558895</v>
      </c>
    </row>
    <row r="269" spans="1:1" x14ac:dyDescent="0.25">
      <c r="A269" t="s">
        <v>486</v>
      </c>
    </row>
    <row r="270" spans="1:1" x14ac:dyDescent="0.25">
      <c r="A270" t="s">
        <v>487</v>
      </c>
    </row>
    <row r="271" spans="1:1" x14ac:dyDescent="0.25">
      <c r="A271">
        <v>151919</v>
      </c>
    </row>
    <row r="272" spans="1:1" x14ac:dyDescent="0.25">
      <c r="A272" t="s">
        <v>488</v>
      </c>
    </row>
    <row r="273" spans="1:1" x14ac:dyDescent="0.25">
      <c r="A273" t="s">
        <v>489</v>
      </c>
    </row>
    <row r="274" spans="1:1" x14ac:dyDescent="0.25">
      <c r="A274">
        <v>361497</v>
      </c>
    </row>
    <row r="275" spans="1:1" x14ac:dyDescent="0.25">
      <c r="A275" t="s">
        <v>490</v>
      </c>
    </row>
    <row r="276" spans="1:1" x14ac:dyDescent="0.25">
      <c r="A276" t="s">
        <v>491</v>
      </c>
    </row>
    <row r="277" spans="1:1" x14ac:dyDescent="0.25">
      <c r="A277">
        <v>0</v>
      </c>
    </row>
    <row r="278" spans="1:1" x14ac:dyDescent="0.25">
      <c r="A278" t="s">
        <v>492</v>
      </c>
    </row>
    <row r="279" spans="1:1" x14ac:dyDescent="0.25">
      <c r="A279" t="s">
        <v>493</v>
      </c>
    </row>
    <row r="280" spans="1:1" x14ac:dyDescent="0.25">
      <c r="A280">
        <v>0</v>
      </c>
    </row>
    <row r="281" spans="1:1" x14ac:dyDescent="0.25">
      <c r="A281" t="s">
        <v>494</v>
      </c>
    </row>
    <row r="282" spans="1:1" x14ac:dyDescent="0.25">
      <c r="A282" t="s">
        <v>495</v>
      </c>
    </row>
    <row r="283" spans="1:1" x14ac:dyDescent="0.25">
      <c r="A283">
        <v>0</v>
      </c>
    </row>
    <row r="284" spans="1:1" x14ac:dyDescent="0.25">
      <c r="A284" t="s">
        <v>496</v>
      </c>
    </row>
    <row r="285" spans="1:1" x14ac:dyDescent="0.25">
      <c r="A285" t="s">
        <v>497</v>
      </c>
    </row>
    <row r="286" spans="1:1" x14ac:dyDescent="0.25">
      <c r="A286">
        <v>0</v>
      </c>
    </row>
    <row r="287" spans="1:1" x14ac:dyDescent="0.25">
      <c r="A287" t="s">
        <v>498</v>
      </c>
    </row>
    <row r="288" spans="1:1" x14ac:dyDescent="0.25">
      <c r="A288" t="s">
        <v>499</v>
      </c>
    </row>
    <row r="289" spans="1:1" x14ac:dyDescent="0.25">
      <c r="A289">
        <v>0</v>
      </c>
    </row>
    <row r="290" spans="1:1" x14ac:dyDescent="0.25">
      <c r="A290" t="s">
        <v>500</v>
      </c>
    </row>
    <row r="291" spans="1:1" x14ac:dyDescent="0.25">
      <c r="A291" t="s">
        <v>501</v>
      </c>
    </row>
    <row r="292" spans="1:1" x14ac:dyDescent="0.25">
      <c r="A292">
        <v>2323820</v>
      </c>
    </row>
    <row r="293" spans="1:1" x14ac:dyDescent="0.25">
      <c r="A293" t="s">
        <v>502</v>
      </c>
    </row>
    <row r="294" spans="1:1" x14ac:dyDescent="0.25">
      <c r="A294" t="s">
        <v>503</v>
      </c>
    </row>
    <row r="295" spans="1:1" x14ac:dyDescent="0.25">
      <c r="A295">
        <v>2023092</v>
      </c>
    </row>
    <row r="296" spans="1:1" x14ac:dyDescent="0.25">
      <c r="A296" t="s">
        <v>504</v>
      </c>
    </row>
    <row r="297" spans="1:1" x14ac:dyDescent="0.25">
      <c r="A297" t="s">
        <v>505</v>
      </c>
    </row>
    <row r="298" spans="1:1" x14ac:dyDescent="0.25">
      <c r="A298">
        <v>742</v>
      </c>
    </row>
    <row r="299" spans="1:1" x14ac:dyDescent="0.25">
      <c r="A299" t="s">
        <v>506</v>
      </c>
    </row>
    <row r="300" spans="1:1" x14ac:dyDescent="0.25">
      <c r="A300" t="s">
        <v>507</v>
      </c>
    </row>
    <row r="301" spans="1:1" x14ac:dyDescent="0.25">
      <c r="A301">
        <v>0</v>
      </c>
    </row>
    <row r="302" spans="1:1" x14ac:dyDescent="0.25">
      <c r="A302" t="s">
        <v>508</v>
      </c>
    </row>
    <row r="303" spans="1:1" x14ac:dyDescent="0.25">
      <c r="A303" t="s">
        <v>509</v>
      </c>
    </row>
    <row r="304" spans="1:1" x14ac:dyDescent="0.25">
      <c r="A304">
        <v>2072191</v>
      </c>
    </row>
    <row r="305" spans="1:1" x14ac:dyDescent="0.25">
      <c r="A305" t="s">
        <v>510</v>
      </c>
    </row>
    <row r="306" spans="1:1" x14ac:dyDescent="0.25">
      <c r="A306" t="s">
        <v>511</v>
      </c>
    </row>
    <row r="307" spans="1:1" x14ac:dyDescent="0.25">
      <c r="A307">
        <v>13918</v>
      </c>
    </row>
    <row r="308" spans="1:1" x14ac:dyDescent="0.25">
      <c r="A308" t="s">
        <v>512</v>
      </c>
    </row>
    <row r="309" spans="1:1" x14ac:dyDescent="0.25">
      <c r="A309" t="s">
        <v>513</v>
      </c>
    </row>
    <row r="310" spans="1:1" x14ac:dyDescent="0.25">
      <c r="A310">
        <v>4584161</v>
      </c>
    </row>
    <row r="311" spans="1:1" x14ac:dyDescent="0.25">
      <c r="A311" t="s">
        <v>514</v>
      </c>
    </row>
    <row r="312" spans="1:1" x14ac:dyDescent="0.25">
      <c r="A312" t="s">
        <v>515</v>
      </c>
    </row>
    <row r="313" spans="1:1" x14ac:dyDescent="0.25">
      <c r="A313">
        <v>1072739</v>
      </c>
    </row>
    <row r="314" spans="1:1" x14ac:dyDescent="0.25">
      <c r="A314" t="s">
        <v>516</v>
      </c>
    </row>
    <row r="315" spans="1:1" x14ac:dyDescent="0.25">
      <c r="A315" t="s">
        <v>517</v>
      </c>
    </row>
    <row r="316" spans="1:1" x14ac:dyDescent="0.25">
      <c r="A316">
        <v>1638012</v>
      </c>
    </row>
    <row r="317" spans="1:1" x14ac:dyDescent="0.25">
      <c r="A317" t="s">
        <v>518</v>
      </c>
    </row>
    <row r="318" spans="1:1" x14ac:dyDescent="0.25">
      <c r="A318" t="s">
        <v>519</v>
      </c>
    </row>
    <row r="319" spans="1:1" x14ac:dyDescent="0.25">
      <c r="A319">
        <v>2575795</v>
      </c>
    </row>
    <row r="320" spans="1:1" x14ac:dyDescent="0.25">
      <c r="A320" t="s">
        <v>520</v>
      </c>
    </row>
    <row r="321" spans="1:1" x14ac:dyDescent="0.25">
      <c r="A321" t="s">
        <v>521</v>
      </c>
    </row>
    <row r="322" spans="1:1" x14ac:dyDescent="0.25">
      <c r="A322">
        <v>225000</v>
      </c>
    </row>
    <row r="323" spans="1:1" x14ac:dyDescent="0.25">
      <c r="A323" t="s">
        <v>522</v>
      </c>
    </row>
    <row r="324" spans="1:1" x14ac:dyDescent="0.25">
      <c r="A324" t="s">
        <v>523</v>
      </c>
    </row>
    <row r="325" spans="1:1" x14ac:dyDescent="0.25">
      <c r="A325">
        <v>525000</v>
      </c>
    </row>
    <row r="326" spans="1:1" x14ac:dyDescent="0.25">
      <c r="A326" t="s">
        <v>524</v>
      </c>
    </row>
    <row r="327" spans="1:1" x14ac:dyDescent="0.25">
      <c r="A327" t="s">
        <v>525</v>
      </c>
    </row>
    <row r="328" spans="1:1" x14ac:dyDescent="0.25">
      <c r="A328">
        <v>495000</v>
      </c>
    </row>
    <row r="329" spans="1:1" x14ac:dyDescent="0.25">
      <c r="A329" t="s">
        <v>526</v>
      </c>
    </row>
    <row r="330" spans="1:1" x14ac:dyDescent="0.25">
      <c r="A330" t="s">
        <v>527</v>
      </c>
    </row>
    <row r="331" spans="1:1" x14ac:dyDescent="0.25">
      <c r="A331">
        <v>465000</v>
      </c>
    </row>
    <row r="332" spans="1:1" x14ac:dyDescent="0.25">
      <c r="A332" t="s">
        <v>528</v>
      </c>
    </row>
    <row r="333" spans="1:1" x14ac:dyDescent="0.25">
      <c r="A333" t="s">
        <v>529</v>
      </c>
    </row>
    <row r="334" spans="1:1" x14ac:dyDescent="0.25">
      <c r="A334">
        <v>606051</v>
      </c>
    </row>
    <row r="335" spans="1:1" x14ac:dyDescent="0.25">
      <c r="A335" t="s">
        <v>530</v>
      </c>
    </row>
    <row r="336" spans="1:1" x14ac:dyDescent="0.25">
      <c r="A336" t="s">
        <v>531</v>
      </c>
    </row>
    <row r="337" spans="1:1" x14ac:dyDescent="0.25">
      <c r="A337">
        <v>2208188</v>
      </c>
    </row>
    <row r="338" spans="1:1" x14ac:dyDescent="0.25">
      <c r="A338" t="s">
        <v>532</v>
      </c>
    </row>
    <row r="339" spans="1:1" x14ac:dyDescent="0.25">
      <c r="A339" t="s">
        <v>533</v>
      </c>
    </row>
    <row r="340" spans="1:1" x14ac:dyDescent="0.25">
      <c r="A340">
        <v>1684768</v>
      </c>
    </row>
    <row r="341" spans="1:1" x14ac:dyDescent="0.25">
      <c r="A341" t="s">
        <v>534</v>
      </c>
    </row>
    <row r="342" spans="1:1" x14ac:dyDescent="0.25">
      <c r="A342" t="s">
        <v>535</v>
      </c>
    </row>
    <row r="343" spans="1:1" x14ac:dyDescent="0.25">
      <c r="A343">
        <v>1195001</v>
      </c>
    </row>
    <row r="344" spans="1:1" x14ac:dyDescent="0.25">
      <c r="A344" t="s">
        <v>536</v>
      </c>
    </row>
    <row r="345" spans="1:1" x14ac:dyDescent="0.25">
      <c r="A345" t="s">
        <v>537</v>
      </c>
    </row>
    <row r="346" spans="1:1" x14ac:dyDescent="0.25">
      <c r="A346">
        <v>3100000</v>
      </c>
    </row>
    <row r="347" spans="1:1" x14ac:dyDescent="0.25">
      <c r="A347" t="s">
        <v>538</v>
      </c>
    </row>
    <row r="348" spans="1:1" x14ac:dyDescent="0.25">
      <c r="A348" t="s">
        <v>539</v>
      </c>
    </row>
    <row r="349" spans="1:1" x14ac:dyDescent="0.25">
      <c r="A349">
        <v>2895000</v>
      </c>
    </row>
    <row r="350" spans="1:1" x14ac:dyDescent="0.25">
      <c r="A350" t="s">
        <v>540</v>
      </c>
    </row>
    <row r="351" spans="1:1" x14ac:dyDescent="0.25">
      <c r="A351" t="s">
        <v>541</v>
      </c>
    </row>
    <row r="352" spans="1:1" x14ac:dyDescent="0.25">
      <c r="A352">
        <v>0</v>
      </c>
    </row>
    <row r="353" spans="1:1" x14ac:dyDescent="0.25">
      <c r="A353" t="s">
        <v>542</v>
      </c>
    </row>
    <row r="354" spans="1:1" x14ac:dyDescent="0.25">
      <c r="A354" t="s">
        <v>543</v>
      </c>
    </row>
    <row r="355" spans="1:1" x14ac:dyDescent="0.25">
      <c r="A355">
        <v>0</v>
      </c>
    </row>
    <row r="356" spans="1:1" x14ac:dyDescent="0.25">
      <c r="A356" t="s">
        <v>544</v>
      </c>
    </row>
    <row r="357" spans="1:1" x14ac:dyDescent="0.25">
      <c r="A357" t="s">
        <v>545</v>
      </c>
    </row>
    <row r="358" spans="1:1" x14ac:dyDescent="0.25">
      <c r="A358">
        <v>0</v>
      </c>
    </row>
    <row r="359" spans="1:1" x14ac:dyDescent="0.25">
      <c r="A359" t="s">
        <v>546</v>
      </c>
    </row>
    <row r="360" spans="1:1" x14ac:dyDescent="0.25">
      <c r="A360" t="s">
        <v>547</v>
      </c>
    </row>
    <row r="361" spans="1:1" x14ac:dyDescent="0.25">
      <c r="A361">
        <v>0</v>
      </c>
    </row>
    <row r="362" spans="1:1" x14ac:dyDescent="0.25">
      <c r="A362" t="s">
        <v>548</v>
      </c>
    </row>
    <row r="363" spans="1:1" x14ac:dyDescent="0.25">
      <c r="A363" t="s">
        <v>549</v>
      </c>
    </row>
    <row r="364" spans="1:1" x14ac:dyDescent="0.25">
      <c r="A364">
        <v>0</v>
      </c>
    </row>
    <row r="365" spans="1:1" x14ac:dyDescent="0.25">
      <c r="A365" t="s">
        <v>550</v>
      </c>
    </row>
    <row r="366" spans="1:1" x14ac:dyDescent="0.25">
      <c r="A366" t="s">
        <v>551</v>
      </c>
    </row>
    <row r="367" spans="1:1" x14ac:dyDescent="0.25">
      <c r="A367">
        <v>0</v>
      </c>
    </row>
    <row r="368" spans="1:1" x14ac:dyDescent="0.25">
      <c r="A368" t="s">
        <v>552</v>
      </c>
    </row>
    <row r="369" spans="1:1" x14ac:dyDescent="0.25">
      <c r="A369" t="s">
        <v>553</v>
      </c>
    </row>
    <row r="370" spans="1:1" x14ac:dyDescent="0.25">
      <c r="A370">
        <v>0</v>
      </c>
    </row>
    <row r="371" spans="1:1" x14ac:dyDescent="0.25">
      <c r="A371" t="s">
        <v>554</v>
      </c>
    </row>
    <row r="372" spans="1:1" x14ac:dyDescent="0.25">
      <c r="A372" t="s">
        <v>555</v>
      </c>
    </row>
    <row r="373" spans="1:1" x14ac:dyDescent="0.25">
      <c r="A373">
        <v>0</v>
      </c>
    </row>
    <row r="374" spans="1:1" x14ac:dyDescent="0.25">
      <c r="A374" t="s">
        <v>556</v>
      </c>
    </row>
    <row r="375" spans="1:1" x14ac:dyDescent="0.25">
      <c r="A375" t="s">
        <v>557</v>
      </c>
    </row>
    <row r="376" spans="1:1" x14ac:dyDescent="0.25">
      <c r="A376">
        <v>0</v>
      </c>
    </row>
    <row r="377" spans="1:1" x14ac:dyDescent="0.25">
      <c r="A377" t="s">
        <v>558</v>
      </c>
    </row>
    <row r="378" spans="1:1" x14ac:dyDescent="0.25">
      <c r="A378" t="s">
        <v>559</v>
      </c>
    </row>
    <row r="379" spans="1:1" x14ac:dyDescent="0.25">
      <c r="A379">
        <v>0</v>
      </c>
    </row>
    <row r="380" spans="1:1" x14ac:dyDescent="0.25">
      <c r="A380" t="s">
        <v>560</v>
      </c>
    </row>
    <row r="381" spans="1:1" x14ac:dyDescent="0.25">
      <c r="A381" t="s">
        <v>561</v>
      </c>
    </row>
    <row r="382" spans="1:1" x14ac:dyDescent="0.25">
      <c r="A382">
        <v>520200</v>
      </c>
    </row>
    <row r="383" spans="1:1" x14ac:dyDescent="0.25">
      <c r="A383" t="s">
        <v>562</v>
      </c>
    </row>
    <row r="384" spans="1:1" x14ac:dyDescent="0.25">
      <c r="A384" t="s">
        <v>563</v>
      </c>
    </row>
    <row r="385" spans="1:1" x14ac:dyDescent="0.25">
      <c r="A385">
        <v>567773</v>
      </c>
    </row>
    <row r="386" spans="1:1" x14ac:dyDescent="0.25">
      <c r="A386" t="s">
        <v>564</v>
      </c>
    </row>
    <row r="387" spans="1:1" x14ac:dyDescent="0.25">
      <c r="A387" t="s">
        <v>565</v>
      </c>
    </row>
    <row r="388" spans="1:1" x14ac:dyDescent="0.25">
      <c r="A388">
        <v>563315</v>
      </c>
    </row>
    <row r="389" spans="1:1" x14ac:dyDescent="0.25">
      <c r="A389" t="s">
        <v>566</v>
      </c>
    </row>
    <row r="390" spans="1:1" x14ac:dyDescent="0.25">
      <c r="A390" t="s">
        <v>567</v>
      </c>
    </row>
    <row r="391" spans="1:1" x14ac:dyDescent="0.25">
      <c r="A391">
        <v>500556</v>
      </c>
    </row>
    <row r="392" spans="1:1" x14ac:dyDescent="0.25">
      <c r="A392" t="s">
        <v>568</v>
      </c>
    </row>
    <row r="393" spans="1:1" x14ac:dyDescent="0.25">
      <c r="A393" t="s">
        <v>569</v>
      </c>
    </row>
    <row r="394" spans="1:1" x14ac:dyDescent="0.25">
      <c r="A394">
        <v>541756</v>
      </c>
    </row>
    <row r="395" spans="1:1" x14ac:dyDescent="0.25">
      <c r="A395" t="s">
        <v>570</v>
      </c>
    </row>
    <row r="396" spans="1:1" x14ac:dyDescent="0.25">
      <c r="A396" t="s">
        <v>571</v>
      </c>
    </row>
    <row r="397" spans="1:1" x14ac:dyDescent="0.25">
      <c r="A397">
        <v>0</v>
      </c>
    </row>
    <row r="398" spans="1:1" x14ac:dyDescent="0.25">
      <c r="A398" t="s">
        <v>572</v>
      </c>
    </row>
    <row r="399" spans="1:1" x14ac:dyDescent="0.25">
      <c r="A399" t="s">
        <v>573</v>
      </c>
    </row>
    <row r="400" spans="1:1" x14ac:dyDescent="0.25">
      <c r="A400">
        <v>0</v>
      </c>
    </row>
    <row r="401" spans="1:1" x14ac:dyDescent="0.25">
      <c r="A401" t="s">
        <v>574</v>
      </c>
    </row>
    <row r="402" spans="1:1" x14ac:dyDescent="0.25">
      <c r="A402" t="s">
        <v>575</v>
      </c>
    </row>
    <row r="403" spans="1:1" x14ac:dyDescent="0.25">
      <c r="A403">
        <v>0</v>
      </c>
    </row>
    <row r="404" spans="1:1" x14ac:dyDescent="0.25">
      <c r="A404" t="s">
        <v>576</v>
      </c>
    </row>
    <row r="405" spans="1:1" x14ac:dyDescent="0.25">
      <c r="A405" t="s">
        <v>577</v>
      </c>
    </row>
    <row r="406" spans="1:1" x14ac:dyDescent="0.25">
      <c r="A406">
        <v>0</v>
      </c>
    </row>
    <row r="407" spans="1:1" x14ac:dyDescent="0.25">
      <c r="A407" t="s">
        <v>578</v>
      </c>
    </row>
    <row r="408" spans="1:1" x14ac:dyDescent="0.25">
      <c r="A408" t="s">
        <v>579</v>
      </c>
    </row>
    <row r="409" spans="1:1" x14ac:dyDescent="0.25">
      <c r="A409">
        <v>0</v>
      </c>
    </row>
    <row r="410" spans="1:1" x14ac:dyDescent="0.25">
      <c r="A410" t="s">
        <v>580</v>
      </c>
    </row>
    <row r="411" spans="1:1" x14ac:dyDescent="0.25">
      <c r="A411" t="s">
        <v>581</v>
      </c>
    </row>
    <row r="412" spans="1:1" x14ac:dyDescent="0.25">
      <c r="A412">
        <v>0</v>
      </c>
    </row>
    <row r="413" spans="1:1" x14ac:dyDescent="0.25">
      <c r="A413" t="s">
        <v>582</v>
      </c>
    </row>
    <row r="414" spans="1:1" x14ac:dyDescent="0.25">
      <c r="A414" t="s">
        <v>583</v>
      </c>
    </row>
    <row r="415" spans="1:1" x14ac:dyDescent="0.25">
      <c r="A415">
        <v>0</v>
      </c>
    </row>
    <row r="416" spans="1:1" x14ac:dyDescent="0.25">
      <c r="A416" t="s">
        <v>584</v>
      </c>
    </row>
    <row r="417" spans="1:1" x14ac:dyDescent="0.25">
      <c r="A417" t="s">
        <v>585</v>
      </c>
    </row>
    <row r="418" spans="1:1" x14ac:dyDescent="0.25">
      <c r="A418">
        <v>0</v>
      </c>
    </row>
    <row r="419" spans="1:1" x14ac:dyDescent="0.25">
      <c r="A419" t="s">
        <v>586</v>
      </c>
    </row>
    <row r="420" spans="1:1" x14ac:dyDescent="0.25">
      <c r="A420" t="s">
        <v>587</v>
      </c>
    </row>
    <row r="421" spans="1:1" x14ac:dyDescent="0.25">
      <c r="A421">
        <v>0</v>
      </c>
    </row>
    <row r="422" spans="1:1" x14ac:dyDescent="0.25">
      <c r="A422" t="s">
        <v>588</v>
      </c>
    </row>
    <row r="423" spans="1:1" x14ac:dyDescent="0.25">
      <c r="A423" t="s">
        <v>589</v>
      </c>
    </row>
    <row r="424" spans="1:1" x14ac:dyDescent="0.25">
      <c r="A424">
        <v>0</v>
      </c>
    </row>
    <row r="425" spans="1:1" x14ac:dyDescent="0.25">
      <c r="A425" t="s">
        <v>590</v>
      </c>
    </row>
    <row r="426" spans="1:1" x14ac:dyDescent="0.25">
      <c r="A426" t="s">
        <v>591</v>
      </c>
    </row>
    <row r="427" spans="1:1" x14ac:dyDescent="0.25">
      <c r="A427">
        <v>0</v>
      </c>
    </row>
    <row r="428" spans="1:1" x14ac:dyDescent="0.25">
      <c r="A428" t="s">
        <v>592</v>
      </c>
    </row>
    <row r="429" spans="1:1" x14ac:dyDescent="0.25">
      <c r="A429" t="s">
        <v>593</v>
      </c>
    </row>
    <row r="430" spans="1:1" x14ac:dyDescent="0.25">
      <c r="A430">
        <v>0</v>
      </c>
    </row>
    <row r="431" spans="1:1" x14ac:dyDescent="0.25">
      <c r="A431" t="s">
        <v>594</v>
      </c>
    </row>
    <row r="432" spans="1:1" x14ac:dyDescent="0.25">
      <c r="A432" t="s">
        <v>595</v>
      </c>
    </row>
    <row r="433" spans="1:1" x14ac:dyDescent="0.25">
      <c r="A433">
        <v>0</v>
      </c>
    </row>
    <row r="434" spans="1:1" x14ac:dyDescent="0.25">
      <c r="A434" t="s">
        <v>596</v>
      </c>
    </row>
    <row r="435" spans="1:1" x14ac:dyDescent="0.25">
      <c r="A435" t="s">
        <v>597</v>
      </c>
    </row>
    <row r="436" spans="1:1" x14ac:dyDescent="0.25">
      <c r="A436">
        <v>0</v>
      </c>
    </row>
    <row r="437" spans="1:1" x14ac:dyDescent="0.25">
      <c r="A437" t="s">
        <v>598</v>
      </c>
    </row>
    <row r="438" spans="1:1" x14ac:dyDescent="0.25">
      <c r="A438" t="s">
        <v>599</v>
      </c>
    </row>
    <row r="439" spans="1:1" x14ac:dyDescent="0.25">
      <c r="A439">
        <v>0</v>
      </c>
    </row>
    <row r="440" spans="1:1" x14ac:dyDescent="0.25">
      <c r="A440" t="s">
        <v>600</v>
      </c>
    </row>
    <row r="441" spans="1:1" x14ac:dyDescent="0.25">
      <c r="A441" t="s">
        <v>601</v>
      </c>
    </row>
    <row r="442" spans="1:1" x14ac:dyDescent="0.25">
      <c r="A442">
        <v>0</v>
      </c>
    </row>
    <row r="443" spans="1:1" x14ac:dyDescent="0.25">
      <c r="A443" t="s">
        <v>602</v>
      </c>
    </row>
    <row r="444" spans="1:1" x14ac:dyDescent="0.25">
      <c r="A444" t="s">
        <v>603</v>
      </c>
    </row>
    <row r="445" spans="1:1" x14ac:dyDescent="0.25">
      <c r="A445">
        <v>0</v>
      </c>
    </row>
    <row r="446" spans="1:1" x14ac:dyDescent="0.25">
      <c r="A446" t="s">
        <v>604</v>
      </c>
    </row>
    <row r="447" spans="1:1" x14ac:dyDescent="0.25">
      <c r="A447" t="s">
        <v>605</v>
      </c>
    </row>
    <row r="448" spans="1:1" x14ac:dyDescent="0.25">
      <c r="A448">
        <v>0</v>
      </c>
    </row>
    <row r="449" spans="1:1" x14ac:dyDescent="0.25">
      <c r="A449" t="s">
        <v>606</v>
      </c>
    </row>
    <row r="450" spans="1:1" x14ac:dyDescent="0.25">
      <c r="A450" t="s">
        <v>607</v>
      </c>
    </row>
    <row r="451" spans="1:1" x14ac:dyDescent="0.25">
      <c r="A451">
        <v>2000000</v>
      </c>
    </row>
    <row r="452" spans="1:1" x14ac:dyDescent="0.25">
      <c r="A452" t="s">
        <v>608</v>
      </c>
    </row>
    <row r="453" spans="1:1" x14ac:dyDescent="0.25">
      <c r="A453" t="s">
        <v>609</v>
      </c>
    </row>
    <row r="454" spans="1:1" x14ac:dyDescent="0.25">
      <c r="A454">
        <v>0</v>
      </c>
    </row>
    <row r="455" spans="1:1" x14ac:dyDescent="0.25">
      <c r="A455" t="s">
        <v>610</v>
      </c>
    </row>
    <row r="456" spans="1:1" x14ac:dyDescent="0.25">
      <c r="A456" t="s">
        <v>611</v>
      </c>
    </row>
    <row r="457" spans="1:1" x14ac:dyDescent="0.25">
      <c r="A457">
        <v>0</v>
      </c>
    </row>
    <row r="458" spans="1:1" x14ac:dyDescent="0.25">
      <c r="A458" t="s">
        <v>612</v>
      </c>
    </row>
    <row r="459" spans="1:1" x14ac:dyDescent="0.25">
      <c r="A459" t="s">
        <v>613</v>
      </c>
    </row>
    <row r="460" spans="1:1" x14ac:dyDescent="0.25">
      <c r="A460">
        <v>0</v>
      </c>
    </row>
    <row r="461" spans="1:1" x14ac:dyDescent="0.25">
      <c r="A461" t="s">
        <v>614</v>
      </c>
    </row>
    <row r="462" spans="1:1" x14ac:dyDescent="0.25">
      <c r="A462" t="s">
        <v>615</v>
      </c>
    </row>
    <row r="463" spans="1:1" x14ac:dyDescent="0.25">
      <c r="A463">
        <v>0</v>
      </c>
    </row>
    <row r="464" spans="1:1" x14ac:dyDescent="0.25">
      <c r="A464" t="s">
        <v>616</v>
      </c>
    </row>
    <row r="465" spans="1:1" x14ac:dyDescent="0.25">
      <c r="A465" t="s">
        <v>617</v>
      </c>
    </row>
    <row r="466" spans="1:1" x14ac:dyDescent="0.25">
      <c r="A466">
        <v>0</v>
      </c>
    </row>
    <row r="467" spans="1:1" x14ac:dyDescent="0.25">
      <c r="A467" t="s">
        <v>618</v>
      </c>
    </row>
    <row r="468" spans="1:1" x14ac:dyDescent="0.25">
      <c r="A468" t="s">
        <v>619</v>
      </c>
    </row>
    <row r="469" spans="1:1" x14ac:dyDescent="0.25">
      <c r="A469">
        <v>0</v>
      </c>
    </row>
    <row r="470" spans="1:1" x14ac:dyDescent="0.25">
      <c r="A470" t="s">
        <v>620</v>
      </c>
    </row>
    <row r="471" spans="1:1" x14ac:dyDescent="0.25">
      <c r="A471" t="s">
        <v>621</v>
      </c>
    </row>
    <row r="472" spans="1:1" x14ac:dyDescent="0.25">
      <c r="A472">
        <v>215</v>
      </c>
    </row>
    <row r="473" spans="1:1" x14ac:dyDescent="0.25">
      <c r="A473" t="s">
        <v>622</v>
      </c>
    </row>
    <row r="474" spans="1:1" x14ac:dyDescent="0.25">
      <c r="A474" t="s">
        <v>623</v>
      </c>
    </row>
    <row r="475" spans="1:1" x14ac:dyDescent="0.25">
      <c r="A475">
        <v>10000</v>
      </c>
    </row>
    <row r="476" spans="1:1" x14ac:dyDescent="0.25">
      <c r="A476" t="s">
        <v>624</v>
      </c>
    </row>
    <row r="477" spans="1:1" x14ac:dyDescent="0.25">
      <c r="A477" t="s">
        <v>625</v>
      </c>
    </row>
    <row r="478" spans="1:1" x14ac:dyDescent="0.25">
      <c r="A478">
        <v>0</v>
      </c>
    </row>
    <row r="479" spans="1:1" x14ac:dyDescent="0.25">
      <c r="A479" t="s">
        <v>626</v>
      </c>
    </row>
    <row r="480" spans="1:1" x14ac:dyDescent="0.25">
      <c r="A480" t="s">
        <v>627</v>
      </c>
    </row>
    <row r="481" spans="1:1" x14ac:dyDescent="0.25">
      <c r="A481">
        <v>7641</v>
      </c>
    </row>
    <row r="482" spans="1:1" x14ac:dyDescent="0.25">
      <c r="A482" t="s">
        <v>628</v>
      </c>
    </row>
    <row r="483" spans="1:1" x14ac:dyDescent="0.25">
      <c r="A483" t="s">
        <v>629</v>
      </c>
    </row>
    <row r="484" spans="1:1" x14ac:dyDescent="0.25">
      <c r="A484">
        <v>0</v>
      </c>
    </row>
    <row r="485" spans="1:1" x14ac:dyDescent="0.25">
      <c r="A485" t="s">
        <v>630</v>
      </c>
    </row>
    <row r="486" spans="1:1" x14ac:dyDescent="0.25">
      <c r="A486" t="s">
        <v>631</v>
      </c>
    </row>
    <row r="487" spans="1:1" x14ac:dyDescent="0.25">
      <c r="A487">
        <v>0</v>
      </c>
    </row>
    <row r="488" spans="1:1" x14ac:dyDescent="0.25">
      <c r="A488" t="s">
        <v>632</v>
      </c>
    </row>
    <row r="489" spans="1:1" x14ac:dyDescent="0.25">
      <c r="A489" t="s">
        <v>633</v>
      </c>
    </row>
    <row r="490" spans="1:1" x14ac:dyDescent="0.25">
      <c r="A490">
        <v>0</v>
      </c>
    </row>
    <row r="491" spans="1:1" x14ac:dyDescent="0.25">
      <c r="A491" t="s">
        <v>634</v>
      </c>
    </row>
    <row r="492" spans="1:1" x14ac:dyDescent="0.25">
      <c r="A492" t="s">
        <v>635</v>
      </c>
    </row>
    <row r="493" spans="1:1" x14ac:dyDescent="0.25">
      <c r="A493">
        <v>0</v>
      </c>
    </row>
    <row r="494" spans="1:1" x14ac:dyDescent="0.25">
      <c r="A494" t="s">
        <v>636</v>
      </c>
    </row>
    <row r="495" spans="1:1" x14ac:dyDescent="0.25">
      <c r="A495" t="s">
        <v>637</v>
      </c>
    </row>
    <row r="496" spans="1:1" x14ac:dyDescent="0.25">
      <c r="A496">
        <v>0</v>
      </c>
    </row>
    <row r="497" spans="1:1" x14ac:dyDescent="0.25">
      <c r="A497" t="s">
        <v>638</v>
      </c>
    </row>
    <row r="498" spans="1:1" x14ac:dyDescent="0.25">
      <c r="A498" t="s">
        <v>639</v>
      </c>
    </row>
    <row r="499" spans="1:1" x14ac:dyDescent="0.25">
      <c r="A499">
        <v>0</v>
      </c>
    </row>
    <row r="500" spans="1:1" x14ac:dyDescent="0.25">
      <c r="A500" t="s">
        <v>640</v>
      </c>
    </row>
    <row r="501" spans="1:1" x14ac:dyDescent="0.25">
      <c r="A501" t="s">
        <v>641</v>
      </c>
    </row>
    <row r="502" spans="1:1" x14ac:dyDescent="0.25">
      <c r="A502">
        <v>885636</v>
      </c>
    </row>
    <row r="503" spans="1:1" x14ac:dyDescent="0.25">
      <c r="A503" t="s">
        <v>642</v>
      </c>
    </row>
    <row r="504" spans="1:1" x14ac:dyDescent="0.25">
      <c r="A504" t="s">
        <v>643</v>
      </c>
    </row>
    <row r="505" spans="1:1" x14ac:dyDescent="0.25">
      <c r="A505">
        <v>1504634</v>
      </c>
    </row>
    <row r="506" spans="1:1" x14ac:dyDescent="0.25">
      <c r="A506" t="s">
        <v>644</v>
      </c>
    </row>
    <row r="507" spans="1:1" x14ac:dyDescent="0.25">
      <c r="A507" t="s">
        <v>645</v>
      </c>
    </row>
    <row r="508" spans="1:1" x14ac:dyDescent="0.25">
      <c r="A508">
        <v>1036081</v>
      </c>
    </row>
    <row r="509" spans="1:1" x14ac:dyDescent="0.25">
      <c r="A509" t="s">
        <v>646</v>
      </c>
    </row>
    <row r="510" spans="1:1" x14ac:dyDescent="0.25">
      <c r="A510" t="s">
        <v>647</v>
      </c>
    </row>
    <row r="511" spans="1:1" x14ac:dyDescent="0.25">
      <c r="A511">
        <v>1316795</v>
      </c>
    </row>
    <row r="512" spans="1:1" x14ac:dyDescent="0.25">
      <c r="A512" t="s">
        <v>648</v>
      </c>
    </row>
    <row r="513" spans="1:1" x14ac:dyDescent="0.25">
      <c r="A513" t="s">
        <v>649</v>
      </c>
    </row>
    <row r="514" spans="1:1" x14ac:dyDescent="0.25">
      <c r="A514">
        <v>1367556</v>
      </c>
    </row>
    <row r="515" spans="1:1" x14ac:dyDescent="0.25">
      <c r="A515" t="s">
        <v>650</v>
      </c>
    </row>
    <row r="516" spans="1:1" x14ac:dyDescent="0.25">
      <c r="A516" t="s">
        <v>651</v>
      </c>
    </row>
    <row r="517" spans="1:1" x14ac:dyDescent="0.25">
      <c r="A517">
        <v>-885536</v>
      </c>
    </row>
    <row r="518" spans="1:1" x14ac:dyDescent="0.25">
      <c r="A518" t="s">
        <v>652</v>
      </c>
    </row>
    <row r="519" spans="1:1" x14ac:dyDescent="0.25">
      <c r="A519" t="s">
        <v>653</v>
      </c>
    </row>
    <row r="520" spans="1:1" x14ac:dyDescent="0.25">
      <c r="A520">
        <v>-1501822</v>
      </c>
    </row>
    <row r="521" spans="1:1" x14ac:dyDescent="0.25">
      <c r="A521" t="s">
        <v>654</v>
      </c>
    </row>
    <row r="522" spans="1:1" x14ac:dyDescent="0.25">
      <c r="A522" t="s">
        <v>655</v>
      </c>
    </row>
    <row r="523" spans="1:1" x14ac:dyDescent="0.25">
      <c r="A523">
        <v>-1036081</v>
      </c>
    </row>
    <row r="524" spans="1:1" x14ac:dyDescent="0.25">
      <c r="A524" t="s">
        <v>656</v>
      </c>
    </row>
    <row r="525" spans="1:1" x14ac:dyDescent="0.25">
      <c r="A525" t="s">
        <v>657</v>
      </c>
    </row>
    <row r="526" spans="1:1" x14ac:dyDescent="0.25">
      <c r="A526">
        <v>-1314815</v>
      </c>
    </row>
    <row r="527" spans="1:1" x14ac:dyDescent="0.25">
      <c r="A527" t="s">
        <v>658</v>
      </c>
    </row>
    <row r="528" spans="1:1" x14ac:dyDescent="0.25">
      <c r="A528" t="s">
        <v>659</v>
      </c>
    </row>
    <row r="529" spans="1:1" x14ac:dyDescent="0.25">
      <c r="A529">
        <v>-1367556</v>
      </c>
    </row>
    <row r="530" spans="1:1" x14ac:dyDescent="0.25">
      <c r="A530" t="s">
        <v>660</v>
      </c>
    </row>
    <row r="531" spans="1:1" x14ac:dyDescent="0.25">
      <c r="A531" t="s">
        <v>661</v>
      </c>
    </row>
    <row r="532" spans="1:1" x14ac:dyDescent="0.25">
      <c r="A532">
        <v>0</v>
      </c>
    </row>
    <row r="533" spans="1:1" x14ac:dyDescent="0.25">
      <c r="A533" t="s">
        <v>662</v>
      </c>
    </row>
    <row r="534" spans="1:1" x14ac:dyDescent="0.25">
      <c r="A534" t="s">
        <v>663</v>
      </c>
    </row>
    <row r="535" spans="1:1" x14ac:dyDescent="0.25">
      <c r="A535">
        <v>0</v>
      </c>
    </row>
    <row r="536" spans="1:1" x14ac:dyDescent="0.25">
      <c r="A536" t="s">
        <v>664</v>
      </c>
    </row>
    <row r="537" spans="1:1" x14ac:dyDescent="0.25">
      <c r="A537" t="s">
        <v>665</v>
      </c>
    </row>
    <row r="538" spans="1:1" x14ac:dyDescent="0.25">
      <c r="A538">
        <v>0</v>
      </c>
    </row>
    <row r="539" spans="1:1" x14ac:dyDescent="0.25">
      <c r="A539" t="s">
        <v>666</v>
      </c>
    </row>
    <row r="540" spans="1:1" x14ac:dyDescent="0.25">
      <c r="A540" t="s">
        <v>667</v>
      </c>
    </row>
    <row r="541" spans="1:1" x14ac:dyDescent="0.25">
      <c r="A541">
        <v>0</v>
      </c>
    </row>
    <row r="542" spans="1:1" x14ac:dyDescent="0.25">
      <c r="A542" t="s">
        <v>668</v>
      </c>
    </row>
    <row r="543" spans="1:1" x14ac:dyDescent="0.25">
      <c r="A543" t="s">
        <v>669</v>
      </c>
    </row>
    <row r="544" spans="1:1" x14ac:dyDescent="0.25">
      <c r="A544">
        <v>0</v>
      </c>
    </row>
    <row r="545" spans="1:1" x14ac:dyDescent="0.25">
      <c r="A545" t="s">
        <v>670</v>
      </c>
    </row>
    <row r="546" spans="1:1" x14ac:dyDescent="0.25">
      <c r="A546" t="s">
        <v>671</v>
      </c>
    </row>
    <row r="547" spans="1:1" x14ac:dyDescent="0.25">
      <c r="A547">
        <v>0</v>
      </c>
    </row>
    <row r="548" spans="1:1" x14ac:dyDescent="0.25">
      <c r="A548" t="s">
        <v>672</v>
      </c>
    </row>
    <row r="549" spans="1:1" x14ac:dyDescent="0.25">
      <c r="A549" t="s">
        <v>673</v>
      </c>
    </row>
    <row r="550" spans="1:1" x14ac:dyDescent="0.25">
      <c r="A550">
        <v>0</v>
      </c>
    </row>
    <row r="551" spans="1:1" x14ac:dyDescent="0.25">
      <c r="A551" t="s">
        <v>674</v>
      </c>
    </row>
    <row r="552" spans="1:1" x14ac:dyDescent="0.25">
      <c r="A552" t="s">
        <v>675</v>
      </c>
    </row>
    <row r="553" spans="1:1" x14ac:dyDescent="0.25">
      <c r="A553">
        <v>0</v>
      </c>
    </row>
    <row r="554" spans="1:1" x14ac:dyDescent="0.25">
      <c r="A554" t="s">
        <v>676</v>
      </c>
    </row>
    <row r="555" spans="1:1" x14ac:dyDescent="0.25">
      <c r="A555" t="s">
        <v>677</v>
      </c>
    </row>
    <row r="556" spans="1:1" x14ac:dyDescent="0.25">
      <c r="A556">
        <v>0</v>
      </c>
    </row>
    <row r="557" spans="1:1" x14ac:dyDescent="0.25">
      <c r="A557" t="s">
        <v>678</v>
      </c>
    </row>
    <row r="558" spans="1:1" x14ac:dyDescent="0.25">
      <c r="A558" t="s">
        <v>679</v>
      </c>
    </row>
    <row r="559" spans="1:1" x14ac:dyDescent="0.25">
      <c r="A559">
        <v>0</v>
      </c>
    </row>
    <row r="560" spans="1:1" x14ac:dyDescent="0.25">
      <c r="A560" t="s">
        <v>680</v>
      </c>
    </row>
    <row r="561" spans="1:1" x14ac:dyDescent="0.25">
      <c r="A561" t="s">
        <v>681</v>
      </c>
    </row>
    <row r="562" spans="1:1" x14ac:dyDescent="0.25">
      <c r="A562">
        <v>0</v>
      </c>
    </row>
    <row r="563" spans="1:1" x14ac:dyDescent="0.25">
      <c r="A563" t="s">
        <v>682</v>
      </c>
    </row>
    <row r="564" spans="1:1" x14ac:dyDescent="0.25">
      <c r="A564" t="s">
        <v>683</v>
      </c>
    </row>
    <row r="565" spans="1:1" x14ac:dyDescent="0.25">
      <c r="A565">
        <v>0</v>
      </c>
    </row>
    <row r="566" spans="1:1" x14ac:dyDescent="0.25">
      <c r="A566" t="s">
        <v>684</v>
      </c>
    </row>
    <row r="567" spans="1:1" x14ac:dyDescent="0.25">
      <c r="A567" t="s">
        <v>685</v>
      </c>
    </row>
    <row r="568" spans="1:1" x14ac:dyDescent="0.25">
      <c r="A568">
        <v>0</v>
      </c>
    </row>
    <row r="569" spans="1:1" x14ac:dyDescent="0.25">
      <c r="A569" t="s">
        <v>686</v>
      </c>
    </row>
    <row r="570" spans="1:1" x14ac:dyDescent="0.25">
      <c r="A570" t="s">
        <v>687</v>
      </c>
    </row>
    <row r="571" spans="1:1" x14ac:dyDescent="0.25">
      <c r="A571">
        <v>0</v>
      </c>
    </row>
    <row r="572" spans="1:1" x14ac:dyDescent="0.25">
      <c r="A572" t="s">
        <v>688</v>
      </c>
    </row>
    <row r="573" spans="1:1" x14ac:dyDescent="0.25">
      <c r="A573" t="s">
        <v>689</v>
      </c>
    </row>
    <row r="574" spans="1:1" x14ac:dyDescent="0.25">
      <c r="A574">
        <v>0</v>
      </c>
    </row>
    <row r="575" spans="1:1" x14ac:dyDescent="0.25">
      <c r="A575" t="s">
        <v>690</v>
      </c>
    </row>
    <row r="576" spans="1:1" x14ac:dyDescent="0.25">
      <c r="A576" t="s">
        <v>691</v>
      </c>
    </row>
    <row r="577" spans="1:1" x14ac:dyDescent="0.25">
      <c r="A577">
        <v>0</v>
      </c>
    </row>
    <row r="578" spans="1:1" x14ac:dyDescent="0.25">
      <c r="A578" t="s">
        <v>692</v>
      </c>
    </row>
    <row r="579" spans="1:1" x14ac:dyDescent="0.25">
      <c r="A579" t="s">
        <v>693</v>
      </c>
    </row>
    <row r="580" spans="1:1" x14ac:dyDescent="0.25">
      <c r="A580">
        <v>0</v>
      </c>
    </row>
    <row r="581" spans="1:1" x14ac:dyDescent="0.25">
      <c r="A581" t="s">
        <v>694</v>
      </c>
    </row>
    <row r="582" spans="1:1" x14ac:dyDescent="0.25">
      <c r="A582" t="s">
        <v>695</v>
      </c>
    </row>
    <row r="583" spans="1:1" x14ac:dyDescent="0.25">
      <c r="A583">
        <v>0</v>
      </c>
    </row>
    <row r="584" spans="1:1" x14ac:dyDescent="0.25">
      <c r="A584" t="s">
        <v>696</v>
      </c>
    </row>
    <row r="585" spans="1:1" x14ac:dyDescent="0.25">
      <c r="A585" t="s">
        <v>697</v>
      </c>
    </row>
    <row r="586" spans="1:1" x14ac:dyDescent="0.25">
      <c r="A586">
        <v>0</v>
      </c>
    </row>
    <row r="587" spans="1:1" x14ac:dyDescent="0.25">
      <c r="A587" t="s">
        <v>698</v>
      </c>
    </row>
    <row r="588" spans="1:1" x14ac:dyDescent="0.25">
      <c r="A588" t="s">
        <v>699</v>
      </c>
    </row>
    <row r="589" spans="1:1" x14ac:dyDescent="0.25">
      <c r="A589">
        <v>0</v>
      </c>
    </row>
    <row r="590" spans="1:1" x14ac:dyDescent="0.25">
      <c r="A590" t="s">
        <v>700</v>
      </c>
    </row>
    <row r="591" spans="1:1" x14ac:dyDescent="0.25">
      <c r="A591" t="s">
        <v>701</v>
      </c>
    </row>
    <row r="592" spans="1:1" x14ac:dyDescent="0.25">
      <c r="A592">
        <v>0</v>
      </c>
    </row>
    <row r="593" spans="1:1" x14ac:dyDescent="0.25">
      <c r="A593" t="s">
        <v>702</v>
      </c>
    </row>
    <row r="594" spans="1:1" x14ac:dyDescent="0.25">
      <c r="A594" t="s">
        <v>703</v>
      </c>
    </row>
    <row r="595" spans="1:1" x14ac:dyDescent="0.25">
      <c r="A595">
        <v>0</v>
      </c>
    </row>
    <row r="596" spans="1:1" x14ac:dyDescent="0.25">
      <c r="A596" t="s">
        <v>704</v>
      </c>
    </row>
    <row r="597" spans="1:1" x14ac:dyDescent="0.25">
      <c r="A597" t="s">
        <v>705</v>
      </c>
    </row>
    <row r="598" spans="1:1" x14ac:dyDescent="0.25">
      <c r="A598">
        <v>0</v>
      </c>
    </row>
    <row r="599" spans="1:1" x14ac:dyDescent="0.25">
      <c r="A599" t="s">
        <v>706</v>
      </c>
    </row>
    <row r="600" spans="1:1" x14ac:dyDescent="0.25">
      <c r="A600" t="s">
        <v>707</v>
      </c>
    </row>
    <row r="601" spans="1:1" x14ac:dyDescent="0.25">
      <c r="A601">
        <v>0</v>
      </c>
    </row>
    <row r="602" spans="1:1" x14ac:dyDescent="0.25">
      <c r="A602" t="s">
        <v>708</v>
      </c>
    </row>
    <row r="603" spans="1:1" x14ac:dyDescent="0.25">
      <c r="A603" t="s">
        <v>709</v>
      </c>
    </row>
    <row r="604" spans="1:1" x14ac:dyDescent="0.25">
      <c r="A604">
        <v>0</v>
      </c>
    </row>
    <row r="605" spans="1:1" x14ac:dyDescent="0.25">
      <c r="A605" t="s">
        <v>710</v>
      </c>
    </row>
    <row r="606" spans="1:1" x14ac:dyDescent="0.25">
      <c r="A606" t="s">
        <v>711</v>
      </c>
    </row>
    <row r="607" spans="1:1" x14ac:dyDescent="0.25">
      <c r="A607">
        <v>0</v>
      </c>
    </row>
    <row r="608" spans="1:1" x14ac:dyDescent="0.25">
      <c r="A608" t="s">
        <v>712</v>
      </c>
    </row>
    <row r="609" spans="1:1" x14ac:dyDescent="0.25">
      <c r="A609" t="s">
        <v>713</v>
      </c>
    </row>
    <row r="610" spans="1:1" x14ac:dyDescent="0.25">
      <c r="A610">
        <v>0</v>
      </c>
    </row>
    <row r="611" spans="1:1" x14ac:dyDescent="0.25">
      <c r="A611" t="s">
        <v>714</v>
      </c>
    </row>
    <row r="612" spans="1:1" x14ac:dyDescent="0.25">
      <c r="A612" t="s">
        <v>715</v>
      </c>
    </row>
    <row r="613" spans="1:1" x14ac:dyDescent="0.25">
      <c r="A613">
        <v>0</v>
      </c>
    </row>
    <row r="614" spans="1:1" x14ac:dyDescent="0.25">
      <c r="A614" t="s">
        <v>716</v>
      </c>
    </row>
    <row r="615" spans="1:1" x14ac:dyDescent="0.25">
      <c r="A615" t="s">
        <v>717</v>
      </c>
    </row>
    <row r="616" spans="1:1" x14ac:dyDescent="0.25">
      <c r="A616">
        <v>0</v>
      </c>
    </row>
    <row r="617" spans="1:1" x14ac:dyDescent="0.25">
      <c r="A617" t="s">
        <v>718</v>
      </c>
    </row>
    <row r="618" spans="1:1" x14ac:dyDescent="0.25">
      <c r="A618" t="s">
        <v>719</v>
      </c>
    </row>
    <row r="619" spans="1:1" x14ac:dyDescent="0.25">
      <c r="A619">
        <v>0</v>
      </c>
    </row>
    <row r="620" spans="1:1" x14ac:dyDescent="0.25">
      <c r="A620" t="s">
        <v>720</v>
      </c>
    </row>
    <row r="621" spans="1:1" x14ac:dyDescent="0.25">
      <c r="A621" t="s">
        <v>721</v>
      </c>
    </row>
    <row r="622" spans="1:1" x14ac:dyDescent="0.25">
      <c r="A622">
        <v>0</v>
      </c>
    </row>
    <row r="623" spans="1:1" x14ac:dyDescent="0.25">
      <c r="A623" t="s">
        <v>722</v>
      </c>
    </row>
    <row r="624" spans="1:1" x14ac:dyDescent="0.25">
      <c r="A624" t="s">
        <v>723</v>
      </c>
    </row>
    <row r="625" spans="1:1" x14ac:dyDescent="0.25">
      <c r="A625">
        <v>0</v>
      </c>
    </row>
    <row r="626" spans="1:1" x14ac:dyDescent="0.25">
      <c r="A626" t="s">
        <v>724</v>
      </c>
    </row>
    <row r="627" spans="1:1" x14ac:dyDescent="0.25">
      <c r="A627" t="s">
        <v>725</v>
      </c>
    </row>
    <row r="628" spans="1:1" x14ac:dyDescent="0.25">
      <c r="A628">
        <v>0</v>
      </c>
    </row>
    <row r="629" spans="1:1" x14ac:dyDescent="0.25">
      <c r="A629" t="s">
        <v>726</v>
      </c>
    </row>
    <row r="630" spans="1:1" x14ac:dyDescent="0.25">
      <c r="A630" t="s">
        <v>727</v>
      </c>
    </row>
    <row r="631" spans="1:1" x14ac:dyDescent="0.25">
      <c r="A631">
        <v>0</v>
      </c>
    </row>
    <row r="632" spans="1:1" x14ac:dyDescent="0.25">
      <c r="A632" t="s">
        <v>728</v>
      </c>
    </row>
    <row r="633" spans="1:1" x14ac:dyDescent="0.25">
      <c r="A633" t="s">
        <v>729</v>
      </c>
    </row>
    <row r="634" spans="1:1" x14ac:dyDescent="0.25">
      <c r="A634">
        <v>0</v>
      </c>
    </row>
    <row r="635" spans="1:1" x14ac:dyDescent="0.25">
      <c r="A635" t="s">
        <v>730</v>
      </c>
    </row>
    <row r="636" spans="1:1" x14ac:dyDescent="0.25">
      <c r="A636" t="s">
        <v>731</v>
      </c>
    </row>
    <row r="637" spans="1:1" x14ac:dyDescent="0.25">
      <c r="A637">
        <v>0</v>
      </c>
    </row>
    <row r="638" spans="1:1" x14ac:dyDescent="0.25">
      <c r="A638" t="s">
        <v>732</v>
      </c>
    </row>
    <row r="639" spans="1:1" x14ac:dyDescent="0.25">
      <c r="A639" t="s">
        <v>733</v>
      </c>
    </row>
    <row r="640" spans="1:1" x14ac:dyDescent="0.25">
      <c r="A640">
        <v>0</v>
      </c>
    </row>
    <row r="641" spans="1:1" x14ac:dyDescent="0.25">
      <c r="A641" t="s">
        <v>734</v>
      </c>
    </row>
    <row r="642" spans="1:1" x14ac:dyDescent="0.25">
      <c r="A642" t="s">
        <v>735</v>
      </c>
    </row>
    <row r="643" spans="1:1" x14ac:dyDescent="0.25">
      <c r="A643">
        <v>0</v>
      </c>
    </row>
    <row r="644" spans="1:1" x14ac:dyDescent="0.25">
      <c r="A644" t="s">
        <v>736</v>
      </c>
    </row>
    <row r="645" spans="1:1" x14ac:dyDescent="0.25">
      <c r="A645" t="s">
        <v>737</v>
      </c>
    </row>
    <row r="646" spans="1:1" x14ac:dyDescent="0.25">
      <c r="A646">
        <v>0</v>
      </c>
    </row>
    <row r="647" spans="1:1" x14ac:dyDescent="0.25">
      <c r="A647" t="s">
        <v>738</v>
      </c>
    </row>
    <row r="648" spans="1:1" x14ac:dyDescent="0.25">
      <c r="A648" t="s">
        <v>739</v>
      </c>
    </row>
    <row r="649" spans="1:1" x14ac:dyDescent="0.25">
      <c r="A649">
        <v>0</v>
      </c>
    </row>
    <row r="650" spans="1:1" x14ac:dyDescent="0.25">
      <c r="A650" t="s">
        <v>740</v>
      </c>
    </row>
    <row r="651" spans="1:1" x14ac:dyDescent="0.25">
      <c r="A651" t="s">
        <v>741</v>
      </c>
    </row>
    <row r="652" spans="1:1" x14ac:dyDescent="0.25">
      <c r="A652">
        <v>0</v>
      </c>
    </row>
    <row r="653" spans="1:1" x14ac:dyDescent="0.25">
      <c r="A653" t="s">
        <v>742</v>
      </c>
    </row>
    <row r="654" spans="1:1" x14ac:dyDescent="0.25">
      <c r="A654" t="s">
        <v>743</v>
      </c>
    </row>
    <row r="655" spans="1:1" x14ac:dyDescent="0.25">
      <c r="A655">
        <v>0</v>
      </c>
    </row>
    <row r="656" spans="1:1" x14ac:dyDescent="0.25">
      <c r="A656" t="s">
        <v>744</v>
      </c>
    </row>
    <row r="657" spans="1:1" x14ac:dyDescent="0.25">
      <c r="A657" t="s">
        <v>745</v>
      </c>
    </row>
    <row r="658" spans="1:1" x14ac:dyDescent="0.25">
      <c r="A658">
        <v>0</v>
      </c>
    </row>
    <row r="659" spans="1:1" x14ac:dyDescent="0.25">
      <c r="A659" t="s">
        <v>746</v>
      </c>
    </row>
    <row r="660" spans="1:1" x14ac:dyDescent="0.25">
      <c r="A660" t="s">
        <v>747</v>
      </c>
    </row>
    <row r="661" spans="1:1" x14ac:dyDescent="0.25">
      <c r="A661">
        <v>0</v>
      </c>
    </row>
    <row r="662" spans="1:1" x14ac:dyDescent="0.25">
      <c r="A662" t="s">
        <v>748</v>
      </c>
    </row>
    <row r="663" spans="1:1" x14ac:dyDescent="0.25">
      <c r="A663" t="s">
        <v>749</v>
      </c>
    </row>
    <row r="664" spans="1:1" x14ac:dyDescent="0.25">
      <c r="A664">
        <v>0</v>
      </c>
    </row>
    <row r="665" spans="1:1" x14ac:dyDescent="0.25">
      <c r="A665" t="s">
        <v>750</v>
      </c>
    </row>
    <row r="666" spans="1:1" x14ac:dyDescent="0.25">
      <c r="A666" t="s">
        <v>751</v>
      </c>
    </row>
    <row r="667" spans="1:1" x14ac:dyDescent="0.25">
      <c r="A667">
        <v>0</v>
      </c>
    </row>
    <row r="668" spans="1:1" x14ac:dyDescent="0.25">
      <c r="A668" t="s">
        <v>752</v>
      </c>
    </row>
    <row r="669" spans="1:1" x14ac:dyDescent="0.25">
      <c r="A669" t="s">
        <v>753</v>
      </c>
    </row>
    <row r="670" spans="1:1" x14ac:dyDescent="0.25">
      <c r="A670">
        <v>0</v>
      </c>
    </row>
    <row r="671" spans="1:1" x14ac:dyDescent="0.25">
      <c r="A671" t="s">
        <v>754</v>
      </c>
    </row>
    <row r="672" spans="1:1" x14ac:dyDescent="0.25">
      <c r="A672" t="s">
        <v>755</v>
      </c>
    </row>
    <row r="673" spans="1:1" x14ac:dyDescent="0.25">
      <c r="A673">
        <v>0</v>
      </c>
    </row>
    <row r="674" spans="1:1" x14ac:dyDescent="0.25">
      <c r="A674" t="s">
        <v>756</v>
      </c>
    </row>
    <row r="675" spans="1:1" x14ac:dyDescent="0.25">
      <c r="A675" t="s">
        <v>757</v>
      </c>
    </row>
    <row r="676" spans="1:1" x14ac:dyDescent="0.25">
      <c r="A676">
        <v>0</v>
      </c>
    </row>
    <row r="677" spans="1:1" x14ac:dyDescent="0.25">
      <c r="A677" t="s">
        <v>758</v>
      </c>
    </row>
    <row r="678" spans="1:1" x14ac:dyDescent="0.25">
      <c r="A678" t="s">
        <v>759</v>
      </c>
    </row>
    <row r="679" spans="1:1" x14ac:dyDescent="0.25">
      <c r="A679">
        <v>0</v>
      </c>
    </row>
    <row r="680" spans="1:1" x14ac:dyDescent="0.25">
      <c r="A680" t="s">
        <v>760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A1:A64"/>
  <sheetViews>
    <sheetView showGridLines="0" workbookViewId="0">
      <selection activeCell="A8" sqref="A8"/>
    </sheetView>
  </sheetViews>
  <sheetFormatPr defaultColWidth="95.28515625" defaultRowHeight="15" x14ac:dyDescent="0.25"/>
  <cols>
    <col min="1" max="1" width="111" customWidth="1"/>
  </cols>
  <sheetData>
    <row r="1" spans="1:1" ht="18" x14ac:dyDescent="0.25">
      <c r="A1" s="91" t="s">
        <v>293</v>
      </c>
    </row>
    <row r="4" spans="1:1" ht="15" customHeight="1" x14ac:dyDescent="0.25">
      <c r="A4" s="113" t="s">
        <v>292</v>
      </c>
    </row>
    <row r="5" spans="1:1" x14ac:dyDescent="0.25">
      <c r="A5" s="113"/>
    </row>
    <row r="6" spans="1:1" x14ac:dyDescent="0.25">
      <c r="A6" s="113"/>
    </row>
    <row r="7" spans="1:1" x14ac:dyDescent="0.25">
      <c r="A7" s="90"/>
    </row>
    <row r="8" spans="1:1" x14ac:dyDescent="0.25">
      <c r="A8" s="89" t="s">
        <v>291</v>
      </c>
    </row>
    <row r="9" spans="1:1" x14ac:dyDescent="0.25">
      <c r="A9" s="89" t="s">
        <v>290</v>
      </c>
    </row>
    <row r="10" spans="1:1" x14ac:dyDescent="0.25">
      <c r="A10" s="89" t="s">
        <v>289</v>
      </c>
    </row>
    <row r="11" spans="1:1" x14ac:dyDescent="0.25">
      <c r="A11" s="89" t="s">
        <v>288</v>
      </c>
    </row>
    <row r="12" spans="1:1" x14ac:dyDescent="0.25">
      <c r="A12" s="89"/>
    </row>
    <row r="13" spans="1:1" ht="14.25" customHeight="1" x14ac:dyDescent="0.25">
      <c r="A13" s="114" t="s">
        <v>287</v>
      </c>
    </row>
    <row r="14" spans="1:1" ht="14.25" customHeight="1" x14ac:dyDescent="0.25">
      <c r="A14" s="114"/>
    </row>
    <row r="15" spans="1:1" ht="14.25" customHeight="1" x14ac:dyDescent="0.25">
      <c r="A15" s="88"/>
    </row>
    <row r="16" spans="1:1" s="85" customFormat="1" ht="15" customHeight="1" x14ac:dyDescent="0.25">
      <c r="A16" s="110" t="s">
        <v>286</v>
      </c>
    </row>
    <row r="17" spans="1:1" s="85" customFormat="1" ht="15" customHeight="1" x14ac:dyDescent="0.25">
      <c r="A17" s="110"/>
    </row>
    <row r="18" spans="1:1" s="85" customFormat="1" ht="15" customHeight="1" x14ac:dyDescent="0.25">
      <c r="A18" s="110"/>
    </row>
    <row r="19" spans="1:1" s="85" customFormat="1" ht="15" customHeight="1" x14ac:dyDescent="0.25">
      <c r="A19" s="84"/>
    </row>
    <row r="20" spans="1:1" x14ac:dyDescent="0.25">
      <c r="A20" s="87" t="s">
        <v>285</v>
      </c>
    </row>
    <row r="21" spans="1:1" ht="10.5" customHeight="1" x14ac:dyDescent="0.25">
      <c r="A21" s="84"/>
    </row>
    <row r="22" spans="1:1" ht="15" customHeight="1" x14ac:dyDescent="0.25">
      <c r="A22" s="110" t="s">
        <v>284</v>
      </c>
    </row>
    <row r="23" spans="1:1" ht="15" customHeight="1" x14ac:dyDescent="0.25">
      <c r="A23" s="110"/>
    </row>
    <row r="24" spans="1:1" ht="10.5" customHeight="1" x14ac:dyDescent="0.25">
      <c r="A24" s="84"/>
    </row>
    <row r="25" spans="1:1" ht="15" customHeight="1" x14ac:dyDescent="0.25">
      <c r="A25" s="110" t="s">
        <v>283</v>
      </c>
    </row>
    <row r="26" spans="1:1" x14ac:dyDescent="0.25">
      <c r="A26" s="110"/>
    </row>
    <row r="27" spans="1:1" x14ac:dyDescent="0.25">
      <c r="A27" s="110"/>
    </row>
    <row r="28" spans="1:1" x14ac:dyDescent="0.25">
      <c r="A28" s="110"/>
    </row>
    <row r="29" spans="1:1" x14ac:dyDescent="0.25">
      <c r="A29" s="84"/>
    </row>
    <row r="30" spans="1:1" x14ac:dyDescent="0.25">
      <c r="A30" s="86" t="s">
        <v>282</v>
      </c>
    </row>
    <row r="31" spans="1:1" ht="10.5" customHeight="1" x14ac:dyDescent="0.25">
      <c r="A31" s="86"/>
    </row>
    <row r="32" spans="1:1" ht="15" customHeight="1" x14ac:dyDescent="0.25">
      <c r="A32" s="110" t="s">
        <v>281</v>
      </c>
    </row>
    <row r="33" spans="1:1" ht="15" customHeight="1" x14ac:dyDescent="0.25">
      <c r="A33" s="110"/>
    </row>
    <row r="34" spans="1:1" ht="10.5" customHeight="1" x14ac:dyDescent="0.25">
      <c r="A34" s="84"/>
    </row>
    <row r="35" spans="1:1" ht="42.75" customHeight="1" x14ac:dyDescent="0.25">
      <c r="A35" s="85" t="s">
        <v>280</v>
      </c>
    </row>
    <row r="36" spans="1:1" x14ac:dyDescent="0.25">
      <c r="A36" s="85"/>
    </row>
    <row r="37" spans="1:1" ht="28.5" x14ac:dyDescent="0.25">
      <c r="A37" s="84" t="s">
        <v>279</v>
      </c>
    </row>
    <row r="38" spans="1:1" ht="10.5" customHeight="1" x14ac:dyDescent="0.25">
      <c r="A38" s="84"/>
    </row>
    <row r="39" spans="1:1" ht="28.5" x14ac:dyDescent="0.25">
      <c r="A39" s="84" t="s">
        <v>278</v>
      </c>
    </row>
    <row r="40" spans="1:1" ht="10.5" customHeight="1" x14ac:dyDescent="0.25">
      <c r="A40" s="84"/>
    </row>
    <row r="41" spans="1:1" ht="15" customHeight="1" x14ac:dyDescent="0.25">
      <c r="A41" s="110" t="s">
        <v>277</v>
      </c>
    </row>
    <row r="42" spans="1:1" x14ac:dyDescent="0.25">
      <c r="A42" s="110"/>
    </row>
    <row r="43" spans="1:1" x14ac:dyDescent="0.25">
      <c r="A43" s="110"/>
    </row>
    <row r="44" spans="1:1" x14ac:dyDescent="0.25">
      <c r="A44" s="110"/>
    </row>
    <row r="45" spans="1:1" x14ac:dyDescent="0.25">
      <c r="A45" s="84"/>
    </row>
    <row r="46" spans="1:1" ht="15" customHeight="1" x14ac:dyDescent="0.25">
      <c r="A46" s="110" t="s">
        <v>276</v>
      </c>
    </row>
    <row r="47" spans="1:1" x14ac:dyDescent="0.25">
      <c r="A47" s="110"/>
    </row>
    <row r="48" spans="1:1" x14ac:dyDescent="0.25">
      <c r="A48" s="110"/>
    </row>
    <row r="49" spans="1:1" x14ac:dyDescent="0.25">
      <c r="A49" s="84"/>
    </row>
    <row r="50" spans="1:1" ht="15" customHeight="1" x14ac:dyDescent="0.25">
      <c r="A50" s="110" t="s">
        <v>275</v>
      </c>
    </row>
    <row r="51" spans="1:1" x14ac:dyDescent="0.25">
      <c r="A51" s="110"/>
    </row>
    <row r="52" spans="1:1" x14ac:dyDescent="0.25">
      <c r="A52" s="110"/>
    </row>
    <row r="53" spans="1:1" x14ac:dyDescent="0.25">
      <c r="A53" s="110"/>
    </row>
    <row r="54" spans="1:1" x14ac:dyDescent="0.25">
      <c r="A54" s="84"/>
    </row>
    <row r="55" spans="1:1" x14ac:dyDescent="0.25">
      <c r="A55" s="110" t="s">
        <v>274</v>
      </c>
    </row>
    <row r="56" spans="1:1" x14ac:dyDescent="0.25">
      <c r="A56" s="110"/>
    </row>
    <row r="57" spans="1:1" x14ac:dyDescent="0.25">
      <c r="A57" s="84"/>
    </row>
    <row r="58" spans="1:1" ht="15" customHeight="1" x14ac:dyDescent="0.25">
      <c r="A58" s="110" t="s">
        <v>273</v>
      </c>
    </row>
    <row r="59" spans="1:1" x14ac:dyDescent="0.25">
      <c r="A59" s="110"/>
    </row>
    <row r="60" spans="1:1" x14ac:dyDescent="0.25">
      <c r="A60" s="110"/>
    </row>
    <row r="62" spans="1:1" x14ac:dyDescent="0.25">
      <c r="A62" s="111" t="s">
        <v>272</v>
      </c>
    </row>
    <row r="63" spans="1:1" x14ac:dyDescent="0.25">
      <c r="A63" s="111"/>
    </row>
    <row r="64" spans="1:1" x14ac:dyDescent="0.25">
      <c r="A64" s="112"/>
    </row>
  </sheetData>
  <sheetProtection formatCells="0" formatColumns="0" formatRows="0" insertColumns="0" insertRows="0"/>
  <mergeCells count="12">
    <mergeCell ref="A25:A28"/>
    <mergeCell ref="A32:A33"/>
    <mergeCell ref="A58:A60"/>
    <mergeCell ref="A62:A64"/>
    <mergeCell ref="A4:A6"/>
    <mergeCell ref="A55:A56"/>
    <mergeCell ref="A41:A44"/>
    <mergeCell ref="A46:A48"/>
    <mergeCell ref="A50:A53"/>
    <mergeCell ref="A13:A14"/>
    <mergeCell ref="A16:A18"/>
    <mergeCell ref="A22:A23"/>
  </mergeCells>
  <printOptions horizontalCentered="1"/>
  <pageMargins left="0.36" right="0.36" top="0.71" bottom="1.07" header="0.28999999999999998" footer="0.5"/>
  <pageSetup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140"/>
  <sheetViews>
    <sheetView zoomScaleNormal="100" zoomScaleSheetLayoutView="40" workbookViewId="0">
      <pane xSplit="2" ySplit="2" topLeftCell="C23" activePane="bottomRight" state="frozen"/>
      <selection activeCell="I4" sqref="I4"/>
      <selection pane="topRight" activeCell="I4" sqref="I4"/>
      <selection pane="bottomLeft" activeCell="I4" sqref="I4"/>
      <selection pane="bottomRight" activeCell="P44" sqref="P44"/>
    </sheetView>
  </sheetViews>
  <sheetFormatPr defaultRowHeight="15" x14ac:dyDescent="0.25"/>
  <cols>
    <col min="1" max="1" width="8.7109375" customWidth="1"/>
    <col min="2" max="2" width="27.28515625" customWidth="1"/>
    <col min="3" max="3" width="9.140625" style="54" customWidth="1"/>
    <col min="4" max="4" width="11.5703125" style="54" bestFit="1" customWidth="1"/>
    <col min="5" max="6" width="11.5703125" bestFit="1" customWidth="1"/>
    <col min="7" max="7" width="12.28515625" bestFit="1" customWidth="1"/>
    <col min="8" max="14" width="13" bestFit="1" customWidth="1"/>
    <col min="15" max="15" width="12" customWidth="1"/>
    <col min="16" max="16" width="11.140625" bestFit="1" customWidth="1"/>
    <col min="17" max="18" width="10.28515625" customWidth="1"/>
    <col min="20" max="20" width="10.5703125" bestFit="1" customWidth="1"/>
  </cols>
  <sheetData>
    <row r="1" spans="1:20" ht="17.25" x14ac:dyDescent="0.4">
      <c r="A1" s="45" t="s">
        <v>296</v>
      </c>
      <c r="B1" s="27"/>
      <c r="C1" s="53"/>
      <c r="D1" s="53"/>
      <c r="P1" s="19" t="s">
        <v>161</v>
      </c>
      <c r="Q1" s="19"/>
      <c r="R1" s="19"/>
    </row>
    <row r="2" spans="1:20" s="33" customFormat="1" ht="17.25" x14ac:dyDescent="0.4">
      <c r="A2" s="46" t="s">
        <v>190</v>
      </c>
      <c r="B2" s="46"/>
      <c r="C2" s="75" t="s">
        <v>205</v>
      </c>
      <c r="D2" s="40">
        <v>2006</v>
      </c>
      <c r="E2" s="40">
        <v>2007</v>
      </c>
      <c r="F2" s="40">
        <v>2008</v>
      </c>
      <c r="G2" s="74">
        <v>2009</v>
      </c>
      <c r="H2" s="74">
        <v>2010</v>
      </c>
      <c r="I2" s="74">
        <v>2011</v>
      </c>
      <c r="J2" s="74">
        <v>2012</v>
      </c>
      <c r="K2" s="74">
        <v>2013</v>
      </c>
      <c r="L2" s="74">
        <v>2014</v>
      </c>
      <c r="M2" s="74">
        <v>2015</v>
      </c>
      <c r="N2" s="74">
        <v>2016</v>
      </c>
      <c r="O2" s="74">
        <v>2017</v>
      </c>
      <c r="P2" s="41">
        <f>+M$2</f>
        <v>2015</v>
      </c>
      <c r="Q2" s="41">
        <f>+N$2</f>
        <v>2016</v>
      </c>
      <c r="R2" s="41">
        <f>+O$2</f>
        <v>2017</v>
      </c>
    </row>
    <row r="3" spans="1:20" s="33" customFormat="1" ht="17.25" x14ac:dyDescent="0.4">
      <c r="A3" s="46"/>
      <c r="B3" s="46"/>
      <c r="C3" s="75"/>
      <c r="D3" s="40"/>
      <c r="E3" s="40"/>
      <c r="F3" s="40" t="s">
        <v>785</v>
      </c>
      <c r="G3" s="40" t="s">
        <v>782</v>
      </c>
      <c r="H3" s="74" t="s">
        <v>204</v>
      </c>
      <c r="I3" s="74" t="s">
        <v>203</v>
      </c>
      <c r="J3" s="74" t="s">
        <v>202</v>
      </c>
      <c r="K3" s="74" t="s">
        <v>201</v>
      </c>
      <c r="L3" s="74" t="s">
        <v>200</v>
      </c>
      <c r="M3" s="74" t="s">
        <v>783</v>
      </c>
      <c r="N3" s="74" t="s">
        <v>783</v>
      </c>
      <c r="O3" s="74" t="s">
        <v>199</v>
      </c>
      <c r="P3" s="41"/>
      <c r="Q3" s="41"/>
      <c r="R3" s="41"/>
    </row>
    <row r="4" spans="1:20" s="1" customFormat="1" ht="111.6" customHeight="1" x14ac:dyDescent="0.4">
      <c r="C4" s="76"/>
      <c r="D4" s="76"/>
    </row>
    <row r="5" spans="1:20" x14ac:dyDescent="0.25">
      <c r="A5" s="21" t="s">
        <v>1</v>
      </c>
      <c r="J5" s="51"/>
      <c r="L5" s="52"/>
    </row>
    <row r="6" spans="1:20" x14ac:dyDescent="0.25">
      <c r="A6" s="20" t="s">
        <v>2</v>
      </c>
      <c r="J6" s="47"/>
      <c r="K6" s="47"/>
      <c r="L6" s="47"/>
      <c r="M6" s="68"/>
      <c r="N6" s="68"/>
      <c r="O6" s="68"/>
    </row>
    <row r="7" spans="1:20" x14ac:dyDescent="0.25">
      <c r="B7" s="27" t="s">
        <v>765</v>
      </c>
      <c r="C7" s="55" t="s">
        <v>206</v>
      </c>
      <c r="D7" s="55"/>
      <c r="E7" s="35">
        <v>5184152</v>
      </c>
      <c r="F7" s="35">
        <v>5430977</v>
      </c>
      <c r="G7" s="35">
        <v>5443841</v>
      </c>
      <c r="H7" s="35">
        <v>5123838</v>
      </c>
      <c r="I7" s="48">
        <v>4638561</v>
      </c>
      <c r="J7" s="48">
        <v>4739832</v>
      </c>
      <c r="K7" s="48">
        <v>4766329</v>
      </c>
      <c r="L7" s="48">
        <v>4890657</v>
      </c>
      <c r="M7" s="48">
        <v>5025712</v>
      </c>
      <c r="N7" s="48">
        <v>5316091</v>
      </c>
      <c r="O7" s="48">
        <v>5433778</v>
      </c>
      <c r="P7">
        <f t="shared" ref="P7:P16" si="0">ROUND(M7/$N$74,2)</f>
        <v>841.83</v>
      </c>
      <c r="Q7">
        <f t="shared" ref="Q7:R16" si="1">ROUND(N7/$N$74,2)</f>
        <v>890.47</v>
      </c>
      <c r="R7">
        <f>ROUND(O7/$O$74,2)</f>
        <v>910.18</v>
      </c>
      <c r="S7" s="102">
        <f>(O7-N7)/N7</f>
        <v>2.2137882891771415E-2</v>
      </c>
      <c r="T7" s="100">
        <f>O7/O16</f>
        <v>0.56236114395594894</v>
      </c>
    </row>
    <row r="8" spans="1:20" x14ac:dyDescent="0.25">
      <c r="B8" s="27" t="s">
        <v>764</v>
      </c>
      <c r="C8" s="55" t="s">
        <v>207</v>
      </c>
      <c r="D8" s="55"/>
      <c r="E8" s="35">
        <v>322969</v>
      </c>
      <c r="F8" s="35">
        <v>263280</v>
      </c>
      <c r="G8" s="35">
        <v>208393</v>
      </c>
      <c r="H8" s="35">
        <v>240634</v>
      </c>
      <c r="I8" s="48">
        <v>276334</v>
      </c>
      <c r="J8" s="48">
        <v>308581</v>
      </c>
      <c r="K8" s="48">
        <v>320028</v>
      </c>
      <c r="L8" s="48">
        <v>409899</v>
      </c>
      <c r="M8" s="48">
        <v>476942</v>
      </c>
      <c r="N8" s="48">
        <v>433619</v>
      </c>
      <c r="O8" s="48">
        <v>443950</v>
      </c>
      <c r="P8">
        <f t="shared" si="0"/>
        <v>79.89</v>
      </c>
      <c r="Q8">
        <f t="shared" si="1"/>
        <v>72.63</v>
      </c>
      <c r="R8">
        <f t="shared" ref="R8:R15" si="2">ROUND(O8/$O$74,2)</f>
        <v>74.36</v>
      </c>
    </row>
    <row r="9" spans="1:20" x14ac:dyDescent="0.25">
      <c r="B9" s="27" t="s">
        <v>763</v>
      </c>
      <c r="C9" s="55" t="s">
        <v>208</v>
      </c>
      <c r="D9" s="55"/>
      <c r="E9" s="35">
        <v>99655</v>
      </c>
      <c r="F9" s="35">
        <v>6000</v>
      </c>
      <c r="G9" s="35">
        <v>177515</v>
      </c>
      <c r="H9" s="35">
        <v>35444</v>
      </c>
      <c r="I9" s="48">
        <v>46742</v>
      </c>
      <c r="J9" s="48">
        <v>137233</v>
      </c>
      <c r="K9" s="48">
        <v>54852</v>
      </c>
      <c r="L9" s="48">
        <f>15690+30933</f>
        <v>46623</v>
      </c>
      <c r="M9" s="48">
        <f>126900+17557</f>
        <v>144457</v>
      </c>
      <c r="N9" s="48">
        <v>77</v>
      </c>
      <c r="O9" s="48">
        <v>19104</v>
      </c>
      <c r="P9">
        <f t="shared" si="0"/>
        <v>24.2</v>
      </c>
      <c r="Q9">
        <f t="shared" si="1"/>
        <v>0.01</v>
      </c>
      <c r="R9">
        <f t="shared" si="2"/>
        <v>3.2</v>
      </c>
    </row>
    <row r="10" spans="1:20" x14ac:dyDescent="0.25">
      <c r="B10" s="27" t="s">
        <v>771</v>
      </c>
      <c r="C10" s="55" t="s">
        <v>209</v>
      </c>
      <c r="D10" s="55"/>
      <c r="E10" s="35">
        <v>970357</v>
      </c>
      <c r="F10" s="35">
        <v>1342076</v>
      </c>
      <c r="G10" s="35">
        <v>1669503</v>
      </c>
      <c r="H10" s="35">
        <v>867962</v>
      </c>
      <c r="I10" s="48">
        <v>864881</v>
      </c>
      <c r="J10" s="48">
        <v>858589</v>
      </c>
      <c r="K10" s="48">
        <v>872140</v>
      </c>
      <c r="L10" s="48">
        <v>921900</v>
      </c>
      <c r="M10" s="48">
        <v>960704</v>
      </c>
      <c r="N10" s="48">
        <v>1018830</v>
      </c>
      <c r="O10" s="48">
        <v>1019961</v>
      </c>
      <c r="P10">
        <f t="shared" si="0"/>
        <v>160.91999999999999</v>
      </c>
      <c r="Q10">
        <f t="shared" si="1"/>
        <v>170.66</v>
      </c>
      <c r="R10">
        <f t="shared" si="2"/>
        <v>170.85</v>
      </c>
    </row>
    <row r="11" spans="1:20" x14ac:dyDescent="0.25">
      <c r="B11" s="27" t="s">
        <v>767</v>
      </c>
      <c r="C11" s="55" t="s">
        <v>210</v>
      </c>
      <c r="D11" s="55"/>
      <c r="E11" s="35">
        <v>351441</v>
      </c>
      <c r="F11" s="35">
        <v>357895</v>
      </c>
      <c r="G11" s="35">
        <f>141081+196125</f>
        <v>337206</v>
      </c>
      <c r="H11" s="35">
        <f>163063+203650</f>
        <v>366713</v>
      </c>
      <c r="I11" s="48">
        <f>207370+163074</f>
        <v>370444</v>
      </c>
      <c r="J11" s="48">
        <f>212290+424245</f>
        <v>636535</v>
      </c>
      <c r="K11" s="48">
        <f>225360+646176</f>
        <v>871536</v>
      </c>
      <c r="L11" s="48">
        <f>233280+619992</f>
        <v>853272</v>
      </c>
      <c r="M11" s="48">
        <f>673928+235628</f>
        <v>909556</v>
      </c>
      <c r="N11" s="48">
        <v>857288</v>
      </c>
      <c r="O11" s="48">
        <f>113511+203460+702987</f>
        <v>1019958</v>
      </c>
      <c r="P11">
        <f t="shared" si="0"/>
        <v>152.35</v>
      </c>
      <c r="Q11">
        <f t="shared" si="1"/>
        <v>143.6</v>
      </c>
      <c r="R11">
        <f t="shared" si="2"/>
        <v>170.85</v>
      </c>
    </row>
    <row r="12" spans="1:20" x14ac:dyDescent="0.25">
      <c r="B12" s="27" t="s">
        <v>766</v>
      </c>
      <c r="C12" s="55" t="s">
        <v>211</v>
      </c>
      <c r="D12" s="55"/>
      <c r="E12" s="35">
        <v>84867</v>
      </c>
      <c r="F12" s="35">
        <v>97861</v>
      </c>
      <c r="G12" s="35">
        <v>94732</v>
      </c>
      <c r="H12" s="35">
        <v>48087</v>
      </c>
      <c r="I12" s="48">
        <v>56195</v>
      </c>
      <c r="J12" s="48">
        <v>44800</v>
      </c>
      <c r="K12" s="48">
        <v>65479</v>
      </c>
      <c r="L12" s="48">
        <v>68313</v>
      </c>
      <c r="M12" s="48">
        <v>70946</v>
      </c>
      <c r="N12" s="48">
        <v>70804</v>
      </c>
      <c r="O12" s="48">
        <v>53921</v>
      </c>
      <c r="P12">
        <f t="shared" si="0"/>
        <v>11.88</v>
      </c>
      <c r="Q12">
        <f t="shared" si="1"/>
        <v>11.86</v>
      </c>
      <c r="R12">
        <f t="shared" si="2"/>
        <v>9.0299999999999994</v>
      </c>
    </row>
    <row r="13" spans="1:20" x14ac:dyDescent="0.25">
      <c r="B13" s="27" t="s">
        <v>768</v>
      </c>
      <c r="C13" s="55" t="s">
        <v>297</v>
      </c>
      <c r="D13" s="55"/>
      <c r="E13" s="35">
        <v>1089148</v>
      </c>
      <c r="F13" s="35">
        <v>1101856</v>
      </c>
      <c r="G13" s="35">
        <v>950544</v>
      </c>
      <c r="H13" s="35">
        <v>840464</v>
      </c>
      <c r="I13" s="48">
        <f>73311+723189</f>
        <v>796500</v>
      </c>
      <c r="J13" s="48">
        <f>35835+917654</f>
        <v>953489</v>
      </c>
      <c r="K13" s="48">
        <f>18955+930868</f>
        <v>949823</v>
      </c>
      <c r="L13" s="48">
        <f>19158+956743</f>
        <v>975901</v>
      </c>
      <c r="M13" s="48">
        <f>13880+942424</f>
        <v>956304</v>
      </c>
      <c r="N13" s="48">
        <v>1171302</v>
      </c>
      <c r="O13" s="48">
        <f>5094+978784</f>
        <v>983878</v>
      </c>
      <c r="P13">
        <f t="shared" si="0"/>
        <v>160.18</v>
      </c>
      <c r="Q13">
        <f t="shared" si="1"/>
        <v>196.2</v>
      </c>
      <c r="R13">
        <f t="shared" si="2"/>
        <v>164.8</v>
      </c>
    </row>
    <row r="14" spans="1:20" x14ac:dyDescent="0.25">
      <c r="B14" s="27" t="s">
        <v>769</v>
      </c>
      <c r="C14" s="55" t="s">
        <v>212</v>
      </c>
      <c r="D14" s="55"/>
      <c r="E14" s="35">
        <f>1145991+102148</f>
        <v>1248139</v>
      </c>
      <c r="F14" s="35">
        <f>1161145+121934</f>
        <v>1283079</v>
      </c>
      <c r="G14" s="35">
        <f>998942+121735</f>
        <v>1120677</v>
      </c>
      <c r="H14" s="35">
        <f>10177980-9530783</f>
        <v>647197</v>
      </c>
      <c r="I14" s="48">
        <f>94188+237952+220392+49179+190031</f>
        <v>791742</v>
      </c>
      <c r="J14" s="48">
        <f>126576+396321+229087+37573+226489-12013</f>
        <v>1004033</v>
      </c>
      <c r="K14" s="48">
        <f>59241+440435+210350+36406+290163</f>
        <v>1036595</v>
      </c>
      <c r="L14" s="48">
        <f>59247+426659+178431+36326+215585</f>
        <v>916248</v>
      </c>
      <c r="M14" s="48">
        <f>59353+437098+182566+26512+172338</f>
        <v>877867</v>
      </c>
      <c r="N14" s="48">
        <v>1027410</v>
      </c>
      <c r="O14" s="48">
        <f>22366+357838+119089+32271+156321</f>
        <v>687885</v>
      </c>
      <c r="P14">
        <f t="shared" si="0"/>
        <v>147.05000000000001</v>
      </c>
      <c r="Q14">
        <f t="shared" si="1"/>
        <v>172.1</v>
      </c>
      <c r="R14">
        <f t="shared" si="2"/>
        <v>115.22</v>
      </c>
      <c r="T14">
        <f>N14-M14</f>
        <v>149543</v>
      </c>
    </row>
    <row r="15" spans="1:20" x14ac:dyDescent="0.25">
      <c r="B15" s="27" t="s">
        <v>770</v>
      </c>
      <c r="C15" s="55" t="s">
        <v>225</v>
      </c>
      <c r="D15" s="55"/>
      <c r="E15" s="35"/>
      <c r="F15" s="35">
        <f t="shared" ref="F15:K15" si="3">+F96</f>
        <v>0</v>
      </c>
      <c r="G15" s="35">
        <f t="shared" si="3"/>
        <v>215</v>
      </c>
      <c r="H15" s="35">
        <f t="shared" si="3"/>
        <v>10000</v>
      </c>
      <c r="I15" s="48">
        <f t="shared" si="3"/>
        <v>0</v>
      </c>
      <c r="J15" s="48">
        <f t="shared" si="3"/>
        <v>9641</v>
      </c>
      <c r="K15" s="48">
        <f t="shared" si="3"/>
        <v>0</v>
      </c>
      <c r="L15" s="48">
        <v>0</v>
      </c>
      <c r="M15" s="48"/>
      <c r="N15" s="48"/>
      <c r="O15" s="48"/>
      <c r="P15">
        <f t="shared" si="0"/>
        <v>0</v>
      </c>
      <c r="Q15">
        <f t="shared" si="1"/>
        <v>0</v>
      </c>
      <c r="R15">
        <f t="shared" si="2"/>
        <v>0</v>
      </c>
    </row>
    <row r="16" spans="1:20" x14ac:dyDescent="0.25">
      <c r="B16" s="28" t="s">
        <v>780</v>
      </c>
      <c r="C16" s="56"/>
      <c r="D16" s="56"/>
      <c r="E16" s="34">
        <f t="shared" ref="E16:O16" si="4">SUM(E7:E15)</f>
        <v>9350728</v>
      </c>
      <c r="F16" s="34">
        <f t="shared" si="4"/>
        <v>9883024</v>
      </c>
      <c r="G16" s="34">
        <f t="shared" si="4"/>
        <v>10002626</v>
      </c>
      <c r="H16" s="34">
        <f t="shared" si="4"/>
        <v>8180339</v>
      </c>
      <c r="I16" s="34">
        <f t="shared" si="4"/>
        <v>7841399</v>
      </c>
      <c r="J16" s="69">
        <f t="shared" si="4"/>
        <v>8692733</v>
      </c>
      <c r="K16" s="69">
        <f t="shared" si="4"/>
        <v>8936782</v>
      </c>
      <c r="L16" s="69">
        <f t="shared" si="4"/>
        <v>9082813</v>
      </c>
      <c r="M16" s="69">
        <f t="shared" si="4"/>
        <v>9422488</v>
      </c>
      <c r="N16" s="69">
        <f t="shared" si="4"/>
        <v>9895421</v>
      </c>
      <c r="O16" s="69">
        <f t="shared" si="4"/>
        <v>9662435</v>
      </c>
      <c r="P16" s="4">
        <f t="shared" si="0"/>
        <v>1578.31</v>
      </c>
      <c r="Q16" s="4">
        <f t="shared" si="1"/>
        <v>1657.52</v>
      </c>
      <c r="R16" s="4">
        <f t="shared" si="1"/>
        <v>1618.5</v>
      </c>
    </row>
    <row r="17" spans="1:20" x14ac:dyDescent="0.25">
      <c r="A17" s="20" t="s">
        <v>0</v>
      </c>
      <c r="C17" s="57"/>
      <c r="D17" s="57"/>
      <c r="J17" s="47"/>
      <c r="K17" s="47"/>
      <c r="L17" s="47"/>
      <c r="M17" s="47"/>
      <c r="N17" s="47"/>
      <c r="O17" s="47"/>
      <c r="P17" s="98">
        <f>ROUND(M17/$N$74,2)</f>
        <v>0</v>
      </c>
    </row>
    <row r="18" spans="1:20" x14ac:dyDescent="0.25">
      <c r="B18" s="27" t="s">
        <v>772</v>
      </c>
      <c r="C18" s="55" t="s">
        <v>213</v>
      </c>
      <c r="D18" s="55"/>
      <c r="E18" s="35">
        <v>2235092</v>
      </c>
      <c r="F18" s="35">
        <v>2284292</v>
      </c>
      <c r="G18" s="35">
        <v>2388360</v>
      </c>
      <c r="H18" s="35">
        <v>2054227</v>
      </c>
      <c r="I18" s="48">
        <v>1770859</v>
      </c>
      <c r="J18" s="48">
        <f>12561+291658+258059+142889+216687+130937+40026+300919+59401+176274+38659+18574</f>
        <v>1686644</v>
      </c>
      <c r="K18" s="48">
        <v>1810824</v>
      </c>
      <c r="L18" s="48">
        <v>1823925</v>
      </c>
      <c r="M18" s="48">
        <v>1824513</v>
      </c>
      <c r="N18" s="48">
        <v>1661125</v>
      </c>
      <c r="O18" s="48">
        <f>1762602</f>
        <v>1762602</v>
      </c>
      <c r="P18">
        <f t="shared" ref="P18:P31" si="5">ROUND(M18/$N$74,2)</f>
        <v>305.61</v>
      </c>
      <c r="Q18">
        <f t="shared" ref="Q18:R32" si="6">ROUND(N18/$N$74,2)</f>
        <v>278.25</v>
      </c>
      <c r="R18">
        <f>ROUND(O18/$O$74,2)</f>
        <v>295.24</v>
      </c>
    </row>
    <row r="19" spans="1:20" x14ac:dyDescent="0.25">
      <c r="B19" s="27" t="s">
        <v>773</v>
      </c>
      <c r="C19" s="55" t="s">
        <v>215</v>
      </c>
      <c r="D19" s="55"/>
      <c r="E19" s="35">
        <v>2752375</v>
      </c>
      <c r="F19" s="35">
        <v>2813636</v>
      </c>
      <c r="G19" s="35">
        <v>2842632</v>
      </c>
      <c r="H19" s="35">
        <v>2721818</v>
      </c>
      <c r="I19" s="48">
        <v>2780415</v>
      </c>
      <c r="J19" s="48">
        <v>3104451</v>
      </c>
      <c r="K19" s="48">
        <f>2443767+723641+189139</f>
        <v>3356547</v>
      </c>
      <c r="L19" s="48">
        <f>2573753+821098</f>
        <v>3394851</v>
      </c>
      <c r="M19" s="48">
        <f>2753315+1165132</f>
        <v>3918447</v>
      </c>
      <c r="N19" s="48">
        <v>4569268</v>
      </c>
      <c r="O19" s="48">
        <f>2808475+944330</f>
        <v>3752805</v>
      </c>
      <c r="P19">
        <f t="shared" si="5"/>
        <v>656.36</v>
      </c>
      <c r="Q19">
        <f t="shared" si="6"/>
        <v>765.37</v>
      </c>
      <c r="R19">
        <f t="shared" ref="R19:R28" si="7">ROUND(O19/$O$74,2)</f>
        <v>628.61</v>
      </c>
      <c r="T19" s="99">
        <f>O19/O30</f>
        <v>0.37963149452186457</v>
      </c>
    </row>
    <row r="20" spans="1:20" hidden="1" x14ac:dyDescent="0.25">
      <c r="B20" s="27" t="s">
        <v>12</v>
      </c>
      <c r="C20" s="55" t="s">
        <v>214</v>
      </c>
      <c r="D20" s="55"/>
      <c r="E20" s="35">
        <v>0</v>
      </c>
      <c r="F20" s="35">
        <v>0</v>
      </c>
      <c r="G20" s="35">
        <v>0</v>
      </c>
      <c r="H20" s="35">
        <v>0</v>
      </c>
      <c r="I20" s="48">
        <v>0</v>
      </c>
      <c r="J20" s="48">
        <v>0</v>
      </c>
      <c r="K20" s="48">
        <v>0</v>
      </c>
      <c r="L20" s="48"/>
      <c r="M20" s="48"/>
      <c r="N20" s="48"/>
      <c r="O20" s="48"/>
      <c r="P20">
        <f t="shared" si="5"/>
        <v>0</v>
      </c>
      <c r="Q20">
        <f t="shared" si="6"/>
        <v>0</v>
      </c>
      <c r="R20">
        <f t="shared" si="7"/>
        <v>0</v>
      </c>
    </row>
    <row r="21" spans="1:20" x14ac:dyDescent="0.25">
      <c r="B21" s="27" t="s">
        <v>781</v>
      </c>
      <c r="C21" s="55" t="s">
        <v>216</v>
      </c>
      <c r="D21" s="55"/>
      <c r="E21" s="35">
        <f>943273+228707+102215+175640</f>
        <v>1449835</v>
      </c>
      <c r="F21" s="35">
        <f>1799050+543730-12383+352942</f>
        <v>2683339</v>
      </c>
      <c r="G21" s="35">
        <f>2082325+212619-9998876+10042005+973790</f>
        <v>3311863</v>
      </c>
      <c r="H21" s="35">
        <f>1498238+364522+111503+172315</f>
        <v>2146578</v>
      </c>
      <c r="I21" s="48">
        <v>2863708</v>
      </c>
      <c r="J21" s="48">
        <v>2339004</v>
      </c>
      <c r="K21" s="48">
        <v>2211357</v>
      </c>
      <c r="L21" s="48">
        <v>1853004</v>
      </c>
      <c r="M21" s="48">
        <v>1833721</v>
      </c>
      <c r="N21" s="48">
        <v>1279434</v>
      </c>
      <c r="O21" s="48">
        <f>133180+2227804</f>
        <v>2360984</v>
      </c>
      <c r="P21">
        <f t="shared" si="5"/>
        <v>307.16000000000003</v>
      </c>
      <c r="Q21">
        <f t="shared" si="6"/>
        <v>214.31</v>
      </c>
      <c r="R21">
        <f t="shared" si="7"/>
        <v>395.47</v>
      </c>
    </row>
    <row r="22" spans="1:20" hidden="1" x14ac:dyDescent="0.25">
      <c r="B22" s="27" t="s">
        <v>777</v>
      </c>
      <c r="C22" s="55" t="s">
        <v>217</v>
      </c>
      <c r="D22" s="55"/>
      <c r="E22" s="35">
        <v>0</v>
      </c>
      <c r="F22" s="35">
        <v>0</v>
      </c>
      <c r="G22" s="35">
        <v>0</v>
      </c>
      <c r="H22" s="35">
        <v>0</v>
      </c>
      <c r="I22" s="48">
        <v>0</v>
      </c>
      <c r="J22" s="48">
        <v>0</v>
      </c>
      <c r="K22" s="48">
        <v>0</v>
      </c>
      <c r="L22" s="48"/>
      <c r="M22" s="48"/>
      <c r="N22" s="48"/>
      <c r="O22" s="48"/>
      <c r="P22">
        <f t="shared" si="5"/>
        <v>0</v>
      </c>
      <c r="Q22">
        <f t="shared" si="6"/>
        <v>0</v>
      </c>
      <c r="R22">
        <f t="shared" si="7"/>
        <v>0</v>
      </c>
    </row>
    <row r="23" spans="1:20" x14ac:dyDescent="0.25">
      <c r="B23" s="27" t="s">
        <v>774</v>
      </c>
      <c r="C23" s="55" t="s">
        <v>218</v>
      </c>
      <c r="D23" s="55"/>
      <c r="E23" s="35">
        <v>685755</v>
      </c>
      <c r="F23" s="35">
        <v>545841</v>
      </c>
      <c r="G23" s="35">
        <v>554676</v>
      </c>
      <c r="H23" s="35">
        <v>523204</v>
      </c>
      <c r="I23" s="48">
        <v>566206</v>
      </c>
      <c r="J23" s="48">
        <v>700405</v>
      </c>
      <c r="K23" s="48">
        <v>601652</v>
      </c>
      <c r="L23" s="48">
        <v>629840</v>
      </c>
      <c r="M23" s="48">
        <v>781524</v>
      </c>
      <c r="N23" s="48">
        <v>724406</v>
      </c>
      <c r="O23" s="48">
        <v>1004859</v>
      </c>
      <c r="P23">
        <f t="shared" si="5"/>
        <v>130.91</v>
      </c>
      <c r="Q23">
        <f t="shared" si="6"/>
        <v>121.34</v>
      </c>
      <c r="R23">
        <f t="shared" si="7"/>
        <v>168.32</v>
      </c>
    </row>
    <row r="24" spans="1:20" hidden="1" x14ac:dyDescent="0.25">
      <c r="B24" s="27" t="s">
        <v>17</v>
      </c>
      <c r="C24" s="55" t="s">
        <v>219</v>
      </c>
      <c r="D24" s="55"/>
      <c r="E24" s="35">
        <v>0</v>
      </c>
      <c r="F24" s="35">
        <v>0</v>
      </c>
      <c r="G24" s="35">
        <v>0</v>
      </c>
      <c r="H24" s="35">
        <v>0</v>
      </c>
      <c r="I24" s="48">
        <v>0</v>
      </c>
      <c r="J24" s="48">
        <v>0</v>
      </c>
      <c r="K24" s="48">
        <v>0</v>
      </c>
      <c r="L24" s="48"/>
      <c r="M24" s="48"/>
      <c r="N24" s="48"/>
      <c r="O24" s="48"/>
      <c r="P24">
        <f t="shared" si="5"/>
        <v>0</v>
      </c>
      <c r="Q24">
        <f t="shared" si="6"/>
        <v>0</v>
      </c>
      <c r="R24">
        <f t="shared" si="7"/>
        <v>0</v>
      </c>
    </row>
    <row r="25" spans="1:20" x14ac:dyDescent="0.25">
      <c r="B25" s="27" t="s">
        <v>778</v>
      </c>
      <c r="C25" s="55" t="s">
        <v>220</v>
      </c>
      <c r="D25" s="55"/>
      <c r="E25" s="35">
        <v>808706</v>
      </c>
      <c r="F25" s="35">
        <v>350389</v>
      </c>
      <c r="G25" s="35">
        <v>385579</v>
      </c>
      <c r="H25" s="35">
        <v>362675</v>
      </c>
      <c r="I25" s="48">
        <v>357393</v>
      </c>
      <c r="J25" s="48">
        <v>298021</v>
      </c>
      <c r="K25" s="48">
        <v>324791</v>
      </c>
      <c r="L25" s="48">
        <v>317942</v>
      </c>
      <c r="M25" s="48">
        <v>329734</v>
      </c>
      <c r="N25" s="48">
        <v>348351</v>
      </c>
      <c r="O25" s="48">
        <v>353379</v>
      </c>
      <c r="P25">
        <f t="shared" si="5"/>
        <v>55.23</v>
      </c>
      <c r="Q25">
        <f t="shared" si="6"/>
        <v>58.35</v>
      </c>
      <c r="R25">
        <f t="shared" si="7"/>
        <v>59.19</v>
      </c>
    </row>
    <row r="26" spans="1:20" hidden="1" x14ac:dyDescent="0.25">
      <c r="B26" s="27" t="s">
        <v>776</v>
      </c>
      <c r="C26" s="55" t="s">
        <v>221</v>
      </c>
      <c r="D26" s="55"/>
      <c r="E26" s="35">
        <v>0</v>
      </c>
      <c r="F26" s="35">
        <v>0</v>
      </c>
      <c r="G26" s="35">
        <v>0</v>
      </c>
      <c r="H26" s="35">
        <v>0</v>
      </c>
      <c r="I26" s="48">
        <v>0</v>
      </c>
      <c r="J26" s="48">
        <v>0</v>
      </c>
      <c r="K26" s="48">
        <v>0</v>
      </c>
      <c r="L26" s="48"/>
      <c r="M26" s="48"/>
      <c r="N26" s="48"/>
      <c r="O26" s="48"/>
      <c r="P26">
        <f t="shared" si="5"/>
        <v>0</v>
      </c>
      <c r="Q26">
        <f t="shared" si="6"/>
        <v>0</v>
      </c>
      <c r="R26">
        <f t="shared" si="7"/>
        <v>0</v>
      </c>
    </row>
    <row r="27" spans="1:20" x14ac:dyDescent="0.25">
      <c r="B27" s="27" t="s">
        <v>775</v>
      </c>
      <c r="C27" s="55" t="s">
        <v>222</v>
      </c>
      <c r="D27" s="55"/>
      <c r="E27" s="35">
        <v>755900</v>
      </c>
      <c r="F27" s="35">
        <v>618954</v>
      </c>
      <c r="G27" s="35">
        <v>558895</v>
      </c>
      <c r="H27" s="35">
        <v>151919</v>
      </c>
      <c r="I27" s="48">
        <v>457121</v>
      </c>
      <c r="J27" s="48">
        <v>349975</v>
      </c>
      <c r="K27" s="48">
        <v>296319</v>
      </c>
      <c r="L27" s="48">
        <v>307440</v>
      </c>
      <c r="M27" s="48">
        <v>264971</v>
      </c>
      <c r="N27" s="48">
        <v>275781</v>
      </c>
      <c r="O27" s="48">
        <v>315760</v>
      </c>
      <c r="P27">
        <f t="shared" si="5"/>
        <v>44.38</v>
      </c>
      <c r="Q27">
        <f t="shared" si="6"/>
        <v>46.19</v>
      </c>
      <c r="R27">
        <f t="shared" si="7"/>
        <v>52.89</v>
      </c>
    </row>
    <row r="28" spans="1:20" x14ac:dyDescent="0.25">
      <c r="B28" s="27" t="s">
        <v>784</v>
      </c>
      <c r="C28" s="55" t="s">
        <v>225</v>
      </c>
      <c r="D28" s="55"/>
      <c r="E28" s="35"/>
      <c r="F28" s="35">
        <f>IF(F101&lt;0,-F101,0)</f>
        <v>0</v>
      </c>
      <c r="G28" s="35">
        <f>IF(G101&lt;0,-G101,0)</f>
        <v>0</v>
      </c>
      <c r="H28" s="35">
        <f>IF(H101&lt;0,-H101,0)</f>
        <v>0</v>
      </c>
      <c r="I28" s="48">
        <f>IF(I101&lt;0,-I101,0)</f>
        <v>0</v>
      </c>
      <c r="J28" s="48">
        <v>150000</v>
      </c>
      <c r="K28" s="48">
        <v>130000</v>
      </c>
      <c r="L28" s="48">
        <v>300000</v>
      </c>
      <c r="M28" s="48">
        <v>300000</v>
      </c>
      <c r="N28" s="48">
        <v>380000</v>
      </c>
      <c r="O28" s="48">
        <v>335000</v>
      </c>
      <c r="P28">
        <f t="shared" si="5"/>
        <v>50.25</v>
      </c>
      <c r="Q28">
        <f t="shared" si="6"/>
        <v>63.65</v>
      </c>
      <c r="R28">
        <f t="shared" si="7"/>
        <v>56.11</v>
      </c>
    </row>
    <row r="29" spans="1:20" hidden="1" x14ac:dyDescent="0.25">
      <c r="B29" s="27" t="s">
        <v>27</v>
      </c>
      <c r="C29" s="55" t="s">
        <v>239</v>
      </c>
      <c r="D29" s="55"/>
      <c r="E29" s="35"/>
      <c r="F29" s="35"/>
      <c r="G29" s="35"/>
      <c r="H29" s="35"/>
      <c r="I29" s="35"/>
      <c r="J29" s="48">
        <v>0</v>
      </c>
      <c r="K29" s="48">
        <v>0</v>
      </c>
      <c r="L29" s="48">
        <v>0</v>
      </c>
      <c r="M29" s="48">
        <v>0</v>
      </c>
      <c r="N29" s="48">
        <v>0</v>
      </c>
      <c r="O29" s="48"/>
      <c r="P29">
        <f t="shared" si="5"/>
        <v>0</v>
      </c>
      <c r="Q29">
        <f t="shared" si="6"/>
        <v>0</v>
      </c>
      <c r="R29">
        <f t="shared" si="6"/>
        <v>0</v>
      </c>
    </row>
    <row r="30" spans="1:20" x14ac:dyDescent="0.25">
      <c r="B30" s="3" t="s">
        <v>779</v>
      </c>
      <c r="C30" s="57"/>
      <c r="D30" s="57"/>
      <c r="E30" s="4">
        <f t="shared" ref="E30:N30" si="8">SUM(E18:E29)</f>
        <v>8687663</v>
      </c>
      <c r="F30" s="4">
        <f t="shared" si="8"/>
        <v>9296451</v>
      </c>
      <c r="G30" s="4">
        <f t="shared" si="8"/>
        <v>10042005</v>
      </c>
      <c r="H30" s="4">
        <f t="shared" si="8"/>
        <v>7960421</v>
      </c>
      <c r="I30" s="4">
        <f t="shared" si="8"/>
        <v>8795702</v>
      </c>
      <c r="J30" s="70">
        <f t="shared" si="8"/>
        <v>8628500</v>
      </c>
      <c r="K30" s="70">
        <f t="shared" si="8"/>
        <v>8731490</v>
      </c>
      <c r="L30" s="70">
        <f t="shared" si="8"/>
        <v>8627002</v>
      </c>
      <c r="M30" s="70">
        <f t="shared" si="8"/>
        <v>9252910</v>
      </c>
      <c r="N30" s="70">
        <f t="shared" si="8"/>
        <v>9238365</v>
      </c>
      <c r="O30" s="70">
        <f t="shared" ref="O30" si="9">SUM(O18:O29)</f>
        <v>9885389</v>
      </c>
      <c r="P30" s="4">
        <f t="shared" si="5"/>
        <v>1549.9</v>
      </c>
      <c r="Q30" s="4">
        <f t="shared" si="6"/>
        <v>1547.46</v>
      </c>
      <c r="R30" s="4">
        <f>ROUND(O30/$O$74,2)</f>
        <v>1655.84</v>
      </c>
    </row>
    <row r="31" spans="1:20" ht="15.75" thickBot="1" x14ac:dyDescent="0.3">
      <c r="B31" t="s">
        <v>24</v>
      </c>
      <c r="C31" s="57"/>
      <c r="D31" s="57"/>
      <c r="E31" s="5">
        <f t="shared" ref="E31:N31" si="10">+E16-E30</f>
        <v>663065</v>
      </c>
      <c r="F31" s="5">
        <f t="shared" si="10"/>
        <v>586573</v>
      </c>
      <c r="G31" s="5">
        <f t="shared" si="10"/>
        <v>-39379</v>
      </c>
      <c r="H31" s="5">
        <f t="shared" si="10"/>
        <v>219918</v>
      </c>
      <c r="I31" s="5">
        <f t="shared" si="10"/>
        <v>-954303</v>
      </c>
      <c r="J31" s="67">
        <f t="shared" si="10"/>
        <v>64233</v>
      </c>
      <c r="K31" s="67">
        <f t="shared" si="10"/>
        <v>205292</v>
      </c>
      <c r="L31" s="67">
        <f t="shared" si="10"/>
        <v>455811</v>
      </c>
      <c r="M31" s="67">
        <f t="shared" si="10"/>
        <v>169578</v>
      </c>
      <c r="N31" s="67">
        <f t="shared" si="10"/>
        <v>657056</v>
      </c>
      <c r="O31" s="67">
        <f t="shared" ref="O31" si="11">+O16-O30</f>
        <v>-222954</v>
      </c>
      <c r="P31" s="5">
        <f t="shared" si="5"/>
        <v>28.41</v>
      </c>
      <c r="Q31" s="5">
        <f t="shared" si="6"/>
        <v>110.06</v>
      </c>
      <c r="R31" s="5">
        <f>ROUND(O31/$O$74,2)</f>
        <v>-37.35</v>
      </c>
      <c r="T31" s="108"/>
    </row>
    <row r="32" spans="1:20" ht="15.75" thickTop="1" x14ac:dyDescent="0.25">
      <c r="A32" s="21" t="s">
        <v>146</v>
      </c>
      <c r="C32" s="57"/>
      <c r="D32" s="57"/>
      <c r="J32" s="47"/>
      <c r="K32" s="47"/>
      <c r="L32" s="47"/>
      <c r="M32" s="47"/>
      <c r="N32" s="47"/>
      <c r="O32" s="47"/>
      <c r="Q32" s="98">
        <f t="shared" si="6"/>
        <v>0</v>
      </c>
      <c r="R32" s="98">
        <f t="shared" si="6"/>
        <v>0</v>
      </c>
    </row>
    <row r="33" spans="1:19" ht="17.25" x14ac:dyDescent="0.4">
      <c r="C33" s="57"/>
      <c r="D33" s="57"/>
      <c r="J33" s="47"/>
      <c r="K33" s="47"/>
      <c r="L33" s="47"/>
      <c r="M33" s="47"/>
      <c r="N33" s="47"/>
      <c r="O33" s="47"/>
      <c r="P33" s="1"/>
      <c r="Q33" s="1"/>
      <c r="R33" s="1"/>
    </row>
    <row r="34" spans="1:19" x14ac:dyDescent="0.25">
      <c r="B34" s="27" t="s">
        <v>302</v>
      </c>
      <c r="C34" s="55" t="s">
        <v>303</v>
      </c>
      <c r="D34" s="55"/>
      <c r="E34" s="35">
        <v>2323820</v>
      </c>
      <c r="F34" s="35">
        <v>2023092</v>
      </c>
      <c r="G34" s="35">
        <f>2068514+2843757+42492+555216</f>
        <v>5509979</v>
      </c>
      <c r="H34" s="35">
        <f>1759544+2595940+105479+681952</f>
        <v>5142915</v>
      </c>
      <c r="I34" s="93">
        <v>2072191</v>
      </c>
      <c r="J34" s="93">
        <v>2100164</v>
      </c>
      <c r="K34" s="93">
        <v>2185844</v>
      </c>
      <c r="L34" s="93">
        <v>2354412</v>
      </c>
      <c r="M34" s="48">
        <v>2396027</v>
      </c>
      <c r="N34" s="48">
        <v>2377458</v>
      </c>
      <c r="O34" s="48">
        <v>2652748</v>
      </c>
      <c r="P34" s="22">
        <f t="shared" ref="P34:Q40" si="12">ROUND(M34/$N$74,2)</f>
        <v>401.34</v>
      </c>
      <c r="Q34" s="22">
        <f t="shared" si="12"/>
        <v>398.23</v>
      </c>
      <c r="R34" s="22">
        <f>ROUND(O34/$O$74,2)</f>
        <v>444.35</v>
      </c>
    </row>
    <row r="35" spans="1:19" x14ac:dyDescent="0.25">
      <c r="B35" s="27" t="s">
        <v>301</v>
      </c>
      <c r="C35" s="55" t="s">
        <v>304</v>
      </c>
      <c r="D35" s="55"/>
      <c r="E35" s="35">
        <v>742</v>
      </c>
      <c r="F35" s="35">
        <v>0</v>
      </c>
      <c r="G35" s="35">
        <f>33827+1638685</f>
        <v>1672512</v>
      </c>
      <c r="H35" s="35">
        <f>384763+2057054</f>
        <v>2441817</v>
      </c>
      <c r="I35" s="93">
        <v>13918</v>
      </c>
      <c r="J35" s="93">
        <v>13272</v>
      </c>
      <c r="K35" s="93">
        <f>10203+1486</f>
        <v>11689</v>
      </c>
      <c r="L35" s="93">
        <f>7393+1492</f>
        <v>8885</v>
      </c>
      <c r="M35" s="48">
        <f>5111+1492</f>
        <v>6603</v>
      </c>
      <c r="N35" s="48">
        <v>623</v>
      </c>
      <c r="O35" s="48">
        <v>64</v>
      </c>
      <c r="P35" s="22">
        <f t="shared" si="12"/>
        <v>1.1100000000000001</v>
      </c>
      <c r="Q35" s="22">
        <f t="shared" si="12"/>
        <v>0.1</v>
      </c>
      <c r="R35" s="22">
        <f t="shared" ref="R35:R38" si="13">ROUND(O35/$O$74,2)</f>
        <v>0.01</v>
      </c>
    </row>
    <row r="36" spans="1:19" x14ac:dyDescent="0.25">
      <c r="B36" s="27" t="s">
        <v>300</v>
      </c>
      <c r="C36" s="55" t="s">
        <v>305</v>
      </c>
      <c r="D36" s="55"/>
      <c r="E36" s="35">
        <v>0</v>
      </c>
      <c r="F36" s="35">
        <v>0</v>
      </c>
      <c r="G36" s="35">
        <v>0</v>
      </c>
      <c r="H36" s="35">
        <v>0</v>
      </c>
      <c r="I36" s="93">
        <v>4584161</v>
      </c>
      <c r="J36" s="93">
        <f>959654+76744+2476793+451524+878496+2554</f>
        <v>4845765</v>
      </c>
      <c r="K36" s="93">
        <f>1004524+71944+3099921+509069+965288+2554</f>
        <v>5653300</v>
      </c>
      <c r="L36" s="93">
        <f>1023703+70450+4336240+495021+274135+5334</f>
        <v>6204883</v>
      </c>
      <c r="M36" s="48">
        <f>1063526+73880+4525608+552737+295915+5334</f>
        <v>6517000</v>
      </c>
      <c r="N36" s="48">
        <v>6861303</v>
      </c>
      <c r="O36" s="48">
        <f>1152814+65645+4409128+688455+348227+5334</f>
        <v>6669603</v>
      </c>
      <c r="P36" s="22">
        <f t="shared" si="12"/>
        <v>1091.6199999999999</v>
      </c>
      <c r="Q36" s="22">
        <f t="shared" si="12"/>
        <v>1149.3</v>
      </c>
      <c r="R36" s="22">
        <f t="shared" si="13"/>
        <v>1117.19</v>
      </c>
    </row>
    <row r="37" spans="1:19" x14ac:dyDescent="0.25">
      <c r="B37" s="27" t="s">
        <v>299</v>
      </c>
      <c r="C37" s="55" t="s">
        <v>306</v>
      </c>
      <c r="D37" s="55"/>
      <c r="E37" s="35">
        <v>1072739</v>
      </c>
      <c r="F37" s="35">
        <v>1638012</v>
      </c>
      <c r="G37" s="35">
        <f>545913+833335+4795</f>
        <v>1384043</v>
      </c>
      <c r="H37" s="35">
        <f>521514+882991+1819798+5058</f>
        <v>3229361</v>
      </c>
      <c r="I37" s="93">
        <v>2575795</v>
      </c>
      <c r="J37" s="93">
        <f>557316+31824+107+491039+1221499</f>
        <v>2301785</v>
      </c>
      <c r="K37" s="93">
        <f>575519+33457+1091495</f>
        <v>1700471</v>
      </c>
      <c r="L37" s="93">
        <f>632391+35161+872537</f>
        <v>1540089</v>
      </c>
      <c r="M37" s="48">
        <f>684352+38764+673748</f>
        <v>1396864</v>
      </c>
      <c r="N37" s="48">
        <v>1881031</v>
      </c>
      <c r="O37" s="48">
        <f>672953+27513+779952</f>
        <v>1480418</v>
      </c>
      <c r="P37" s="22">
        <f t="shared" si="12"/>
        <v>233.98</v>
      </c>
      <c r="Q37" s="22">
        <f t="shared" si="12"/>
        <v>315.08</v>
      </c>
      <c r="R37" s="22">
        <f t="shared" si="13"/>
        <v>247.98</v>
      </c>
    </row>
    <row r="38" spans="1:19" x14ac:dyDescent="0.25">
      <c r="B38" s="27" t="s">
        <v>298</v>
      </c>
      <c r="C38" s="55" t="s">
        <v>307</v>
      </c>
      <c r="D38" s="55"/>
      <c r="E38" s="35">
        <v>225000</v>
      </c>
      <c r="F38" s="35">
        <v>525000</v>
      </c>
      <c r="G38" s="35">
        <v>495000</v>
      </c>
      <c r="H38" s="35">
        <v>465000</v>
      </c>
      <c r="I38" s="48">
        <v>606051</v>
      </c>
      <c r="J38" s="48">
        <f>49221+149903+150000+225000</f>
        <v>574124</v>
      </c>
      <c r="K38" s="48">
        <f>268065+101033+120000</f>
        <v>489098</v>
      </c>
      <c r="L38" s="48">
        <f>258450+156344</f>
        <v>414794</v>
      </c>
      <c r="M38" s="48">
        <f>279234+122776</f>
        <v>402010</v>
      </c>
      <c r="N38" s="48">
        <v>478635</v>
      </c>
      <c r="O38" s="48">
        <f>257247+154247</f>
        <v>411494</v>
      </c>
      <c r="P38" s="22">
        <f t="shared" si="12"/>
        <v>67.34</v>
      </c>
      <c r="Q38" s="22">
        <f t="shared" si="12"/>
        <v>80.17</v>
      </c>
      <c r="R38" s="22">
        <f t="shared" si="13"/>
        <v>68.930000000000007</v>
      </c>
    </row>
    <row r="39" spans="1:19" ht="15.75" thickBot="1" x14ac:dyDescent="0.3">
      <c r="B39" s="2" t="s">
        <v>147</v>
      </c>
      <c r="C39" s="57"/>
      <c r="D39" s="57"/>
      <c r="E39" s="5">
        <f t="shared" ref="E39:O39" si="14">SUM(E34:E38)</f>
        <v>3622301</v>
      </c>
      <c r="F39" s="5">
        <f t="shared" si="14"/>
        <v>4186104</v>
      </c>
      <c r="G39" s="5">
        <f t="shared" si="14"/>
        <v>9061534</v>
      </c>
      <c r="H39" s="5">
        <f t="shared" si="14"/>
        <v>11279093</v>
      </c>
      <c r="I39" s="5">
        <f t="shared" si="14"/>
        <v>9852116</v>
      </c>
      <c r="J39" s="67">
        <f t="shared" si="14"/>
        <v>9835110</v>
      </c>
      <c r="K39" s="67">
        <f t="shared" si="14"/>
        <v>10040402</v>
      </c>
      <c r="L39" s="67">
        <f t="shared" si="14"/>
        <v>10523063</v>
      </c>
      <c r="M39" s="67">
        <f t="shared" si="14"/>
        <v>10718504</v>
      </c>
      <c r="N39" s="67">
        <f t="shared" si="14"/>
        <v>11599050</v>
      </c>
      <c r="O39" s="67">
        <f t="shared" si="14"/>
        <v>11214327</v>
      </c>
      <c r="P39" s="23">
        <f t="shared" si="12"/>
        <v>1795.39</v>
      </c>
      <c r="Q39" s="23">
        <f t="shared" si="12"/>
        <v>1942.89</v>
      </c>
      <c r="R39" s="23">
        <f>ROUND(O39/$O$74,2)</f>
        <v>1878.45</v>
      </c>
      <c r="S39" s="5"/>
    </row>
    <row r="40" spans="1:19" ht="15.75" thickTop="1" x14ac:dyDescent="0.25">
      <c r="C40" s="57"/>
      <c r="D40" s="57"/>
      <c r="J40" s="47"/>
      <c r="K40" s="47"/>
      <c r="L40" s="47"/>
      <c r="M40" s="47"/>
      <c r="N40" s="47"/>
      <c r="O40" s="47"/>
      <c r="Q40" s="97">
        <f t="shared" si="12"/>
        <v>0</v>
      </c>
      <c r="R40" s="97"/>
    </row>
    <row r="41" spans="1:19" x14ac:dyDescent="0.25">
      <c r="B41" t="s">
        <v>166</v>
      </c>
      <c r="C41" s="57"/>
      <c r="D41" s="57"/>
      <c r="E41">
        <f t="shared" ref="E41:O41" si="15">SUM(E34:E35)</f>
        <v>2324562</v>
      </c>
      <c r="F41">
        <f t="shared" si="15"/>
        <v>2023092</v>
      </c>
      <c r="G41">
        <f t="shared" si="15"/>
        <v>7182491</v>
      </c>
      <c r="H41">
        <f t="shared" si="15"/>
        <v>7584732</v>
      </c>
      <c r="I41">
        <f t="shared" si="15"/>
        <v>2086109</v>
      </c>
      <c r="J41" s="47">
        <f t="shared" si="15"/>
        <v>2113436</v>
      </c>
      <c r="K41" s="47">
        <f t="shared" si="15"/>
        <v>2197533</v>
      </c>
      <c r="L41" s="47">
        <f t="shared" si="15"/>
        <v>2363297</v>
      </c>
      <c r="M41" s="47">
        <f t="shared" si="15"/>
        <v>2402630</v>
      </c>
      <c r="N41" s="47">
        <f t="shared" si="15"/>
        <v>2378081</v>
      </c>
      <c r="O41" s="47">
        <f t="shared" si="15"/>
        <v>2652812</v>
      </c>
      <c r="P41" s="22">
        <f>ROUND(M41/$N$74,2)</f>
        <v>402.45</v>
      </c>
      <c r="Q41" s="22">
        <f>ROUND(N41/$N$74,2)</f>
        <v>398.34</v>
      </c>
      <c r="R41" s="22">
        <f>ROUND(O41/$O$74,2)</f>
        <v>444.36</v>
      </c>
      <c r="S41" s="22"/>
    </row>
    <row r="42" spans="1:19" x14ac:dyDescent="0.25">
      <c r="C42" s="57"/>
      <c r="D42" s="57"/>
      <c r="J42" s="47"/>
      <c r="K42" s="47"/>
      <c r="L42" s="47"/>
      <c r="M42" s="47"/>
      <c r="N42" s="47"/>
      <c r="O42" s="47"/>
    </row>
    <row r="43" spans="1:19" ht="17.25" x14ac:dyDescent="0.4">
      <c r="A43" s="21" t="s">
        <v>150</v>
      </c>
      <c r="C43" s="57"/>
      <c r="D43" s="57"/>
      <c r="J43" s="81"/>
      <c r="K43" s="81"/>
      <c r="L43" s="81"/>
      <c r="M43" s="81"/>
      <c r="N43" s="81"/>
      <c r="O43" s="81"/>
      <c r="P43" s="19"/>
      <c r="Q43" s="19"/>
      <c r="R43" s="19"/>
    </row>
    <row r="44" spans="1:19" ht="17.25" x14ac:dyDescent="0.4">
      <c r="A44" t="s">
        <v>167</v>
      </c>
      <c r="C44" s="57"/>
      <c r="D44" s="57"/>
      <c r="J44" s="47"/>
      <c r="K44" s="47"/>
      <c r="L44" s="47"/>
      <c r="M44" s="47"/>
      <c r="N44" s="47"/>
      <c r="O44" s="47"/>
      <c r="P44" s="1"/>
      <c r="Q44" s="1"/>
      <c r="R44" s="1"/>
    </row>
    <row r="45" spans="1:19" ht="17.25" x14ac:dyDescent="0.4">
      <c r="A45" t="s">
        <v>271</v>
      </c>
      <c r="C45" s="57"/>
      <c r="D45" s="79">
        <f t="shared" ref="D45" si="16">EOMONTH(E45,-12)</f>
        <v>38717</v>
      </c>
      <c r="E45" s="79">
        <f>EOMONTH(F45,-12)</f>
        <v>39082</v>
      </c>
      <c r="F45" s="79">
        <f>EOMONTH(G45,-12)</f>
        <v>39447</v>
      </c>
      <c r="G45" s="79">
        <f>EOMONTH(H45,-12)</f>
        <v>39813</v>
      </c>
      <c r="H45" s="82">
        <f>EOMONTH(I45,-12)</f>
        <v>40178</v>
      </c>
      <c r="I45" s="82">
        <f>EOMONTH(J45,-12)</f>
        <v>40543</v>
      </c>
      <c r="J45" s="82">
        <v>40908</v>
      </c>
      <c r="K45" s="82">
        <v>41274</v>
      </c>
      <c r="L45" s="82">
        <v>41639</v>
      </c>
      <c r="M45" s="83">
        <v>42004</v>
      </c>
      <c r="N45" s="83">
        <v>42369</v>
      </c>
      <c r="O45" s="83">
        <v>42735</v>
      </c>
      <c r="P45" s="19"/>
      <c r="Q45" s="1"/>
      <c r="R45" s="1"/>
    </row>
    <row r="46" spans="1:19" x14ac:dyDescent="0.25">
      <c r="B46" s="29" t="s">
        <v>787</v>
      </c>
      <c r="C46" s="55" t="s">
        <v>256</v>
      </c>
      <c r="D46" s="35">
        <v>10287251</v>
      </c>
      <c r="E46" s="35">
        <v>10914256</v>
      </c>
      <c r="F46" s="35">
        <v>11291010</v>
      </c>
      <c r="G46" s="35">
        <v>11350471</v>
      </c>
      <c r="H46" s="35">
        <v>11329702</v>
      </c>
      <c r="I46" s="93">
        <v>11399920</v>
      </c>
      <c r="J46" s="93">
        <v>11364748</v>
      </c>
      <c r="K46" s="93">
        <v>11190146</v>
      </c>
      <c r="L46" s="93">
        <v>10568097</v>
      </c>
      <c r="M46" s="93">
        <v>10886450</v>
      </c>
      <c r="N46" s="93">
        <v>10474839</v>
      </c>
      <c r="O46" s="93">
        <v>11481583</v>
      </c>
    </row>
    <row r="47" spans="1:19" x14ac:dyDescent="0.25">
      <c r="B47" s="29" t="s">
        <v>788</v>
      </c>
      <c r="C47" s="55" t="s">
        <v>256</v>
      </c>
      <c r="D47" s="35">
        <v>15561301</v>
      </c>
      <c r="E47" s="35">
        <v>16511320</v>
      </c>
      <c r="F47" s="35">
        <v>16912905</v>
      </c>
      <c r="G47" s="35">
        <v>17430748</v>
      </c>
      <c r="H47" s="35">
        <v>17490508</v>
      </c>
      <c r="I47" s="93">
        <v>18127761</v>
      </c>
      <c r="J47" s="93">
        <v>18726754</v>
      </c>
      <c r="K47" s="93">
        <v>19158887</v>
      </c>
      <c r="L47" s="93">
        <v>18940120</v>
      </c>
      <c r="M47" s="93">
        <v>19126558</v>
      </c>
      <c r="N47" s="93">
        <v>20046562</v>
      </c>
      <c r="O47" s="93">
        <v>19905529</v>
      </c>
    </row>
    <row r="48" spans="1:19" x14ac:dyDescent="0.25">
      <c r="B48" s="29" t="s">
        <v>789</v>
      </c>
      <c r="C48" s="56"/>
      <c r="D48">
        <f t="shared" ref="D48:N48" si="17">+D47-D46</f>
        <v>5274050</v>
      </c>
      <c r="E48">
        <f t="shared" si="17"/>
        <v>5597064</v>
      </c>
      <c r="F48">
        <f t="shared" si="17"/>
        <v>5621895</v>
      </c>
      <c r="G48">
        <f t="shared" si="17"/>
        <v>6080277</v>
      </c>
      <c r="H48">
        <f t="shared" si="17"/>
        <v>6160806</v>
      </c>
      <c r="I48" s="47">
        <f t="shared" si="17"/>
        <v>6727841</v>
      </c>
      <c r="J48" s="47">
        <f t="shared" si="17"/>
        <v>7362006</v>
      </c>
      <c r="K48" s="47">
        <f t="shared" si="17"/>
        <v>7968741</v>
      </c>
      <c r="L48" s="47">
        <f t="shared" si="17"/>
        <v>8372023</v>
      </c>
      <c r="M48" s="47">
        <f t="shared" si="17"/>
        <v>8240108</v>
      </c>
      <c r="N48" s="47">
        <f t="shared" si="17"/>
        <v>9571723</v>
      </c>
      <c r="O48" s="47">
        <f t="shared" ref="O48" si="18">+O47-O46</f>
        <v>8423946</v>
      </c>
      <c r="P48" s="22">
        <f>ROUND(M48/$N$74,2)</f>
        <v>1380.25</v>
      </c>
      <c r="Q48" s="22">
        <f>ROUND(N48/$N$74,2)</f>
        <v>1603.3</v>
      </c>
      <c r="R48" s="22">
        <f>ROUND(O48/$O$74,2)</f>
        <v>1411.05</v>
      </c>
    </row>
    <row r="49" spans="1:18" x14ac:dyDescent="0.25">
      <c r="A49" s="3"/>
      <c r="B49" t="s">
        <v>790</v>
      </c>
      <c r="C49" s="58"/>
      <c r="D49" s="95">
        <f t="shared" ref="D49:N49" si="19">+D46/D47</f>
        <v>0.66107910900251854</v>
      </c>
      <c r="E49" s="95">
        <f t="shared" si="19"/>
        <v>0.66101656318210777</v>
      </c>
      <c r="F49" s="95">
        <f t="shared" si="19"/>
        <v>0.66759731696003732</v>
      </c>
      <c r="G49" s="95">
        <f t="shared" si="19"/>
        <v>0.65117521061058314</v>
      </c>
      <c r="H49" s="95">
        <f t="shared" si="19"/>
        <v>0.64776288944837968</v>
      </c>
      <c r="I49" s="71">
        <f t="shared" si="19"/>
        <v>0.62886530774539673</v>
      </c>
      <c r="J49" s="71">
        <f t="shared" si="19"/>
        <v>0.60687228550126737</v>
      </c>
      <c r="K49" s="71">
        <f t="shared" si="19"/>
        <v>0.58407077613642167</v>
      </c>
      <c r="L49" s="71">
        <f t="shared" si="19"/>
        <v>0.55797413110370997</v>
      </c>
      <c r="M49" s="71">
        <f t="shared" si="19"/>
        <v>0.56917977609980841</v>
      </c>
      <c r="N49" s="71">
        <f t="shared" si="19"/>
        <v>0.52252545848011245</v>
      </c>
      <c r="O49" s="71">
        <f t="shared" ref="O49" si="20">+O46/O47</f>
        <v>0.57680371116989659</v>
      </c>
      <c r="P49" s="10"/>
      <c r="Q49" s="10"/>
      <c r="R49" s="10"/>
    </row>
    <row r="50" spans="1:18" x14ac:dyDescent="0.25">
      <c r="A50" t="s">
        <v>168</v>
      </c>
      <c r="C50" s="57"/>
      <c r="D50"/>
      <c r="I50" s="47"/>
      <c r="J50" s="47"/>
      <c r="K50" s="47"/>
      <c r="L50" s="47"/>
      <c r="M50" s="47"/>
      <c r="N50" s="47"/>
      <c r="O50" s="47"/>
    </row>
    <row r="51" spans="1:18" ht="17.25" x14ac:dyDescent="0.4">
      <c r="A51" t="s">
        <v>271</v>
      </c>
      <c r="C51" s="57"/>
      <c r="D51" s="82">
        <v>37986</v>
      </c>
      <c r="E51" s="82">
        <v>37986</v>
      </c>
      <c r="F51" s="82">
        <v>37986</v>
      </c>
      <c r="G51" s="82">
        <v>39994</v>
      </c>
      <c r="H51" s="82">
        <v>39994</v>
      </c>
      <c r="I51" s="82">
        <v>39994</v>
      </c>
      <c r="J51" s="82">
        <v>41090</v>
      </c>
      <c r="K51" s="83">
        <v>41455</v>
      </c>
      <c r="L51" s="83">
        <v>41820</v>
      </c>
      <c r="M51" s="83">
        <v>41820</v>
      </c>
      <c r="N51" s="83">
        <v>42369</v>
      </c>
      <c r="O51" s="83">
        <v>42735</v>
      </c>
      <c r="P51" s="19"/>
      <c r="Q51" s="1"/>
      <c r="R51" s="1"/>
    </row>
    <row r="52" spans="1:18" x14ac:dyDescent="0.25">
      <c r="B52" s="29" t="s">
        <v>151</v>
      </c>
      <c r="C52" s="55" t="s">
        <v>256</v>
      </c>
      <c r="D52" s="35">
        <v>1048574</v>
      </c>
      <c r="E52" s="35">
        <v>1048574</v>
      </c>
      <c r="F52" s="35">
        <v>1048574</v>
      </c>
      <c r="G52" s="35">
        <v>2530131</v>
      </c>
      <c r="H52" s="35">
        <v>2530131</v>
      </c>
      <c r="I52" s="35">
        <v>2530131</v>
      </c>
      <c r="J52" s="35">
        <v>4637961</v>
      </c>
      <c r="K52" s="35">
        <v>5643093</v>
      </c>
      <c r="L52" s="35">
        <v>6905872</v>
      </c>
      <c r="M52" s="35">
        <v>6905872</v>
      </c>
      <c r="N52" s="35">
        <v>7500415</v>
      </c>
      <c r="O52" s="35">
        <v>8098937</v>
      </c>
    </row>
    <row r="53" spans="1:18" x14ac:dyDescent="0.25">
      <c r="B53" s="29" t="s">
        <v>197</v>
      </c>
      <c r="C53" s="55" t="s">
        <v>256</v>
      </c>
      <c r="D53" s="35">
        <v>8929384</v>
      </c>
      <c r="E53" s="35">
        <v>8929384</v>
      </c>
      <c r="F53" s="35">
        <v>8929384</v>
      </c>
      <c r="G53" s="35">
        <v>19178383</v>
      </c>
      <c r="H53" s="35">
        <v>19178383</v>
      </c>
      <c r="I53" s="35">
        <v>19178383</v>
      </c>
      <c r="J53" s="35">
        <v>32612503</v>
      </c>
      <c r="K53" s="35">
        <v>23343428</v>
      </c>
      <c r="L53" s="35">
        <v>19305113</v>
      </c>
      <c r="M53" s="35">
        <v>19305113</v>
      </c>
      <c r="N53" s="35">
        <v>20505136</v>
      </c>
      <c r="O53" s="35">
        <v>18716200</v>
      </c>
    </row>
    <row r="54" spans="1:18" x14ac:dyDescent="0.25">
      <c r="B54" s="29" t="s">
        <v>158</v>
      </c>
      <c r="C54" s="77"/>
      <c r="D54" s="47"/>
      <c r="E54" s="47"/>
      <c r="F54" s="47"/>
      <c r="G54" s="47"/>
      <c r="H54" s="47"/>
      <c r="I54" s="48">
        <f t="shared" ref="I54:N54" si="21">+I53-I52</f>
        <v>16648252</v>
      </c>
      <c r="J54" s="48">
        <f t="shared" si="21"/>
        <v>27974542</v>
      </c>
      <c r="K54" s="48">
        <f t="shared" si="21"/>
        <v>17700335</v>
      </c>
      <c r="L54" s="48">
        <f t="shared" si="21"/>
        <v>12399241</v>
      </c>
      <c r="M54" s="48">
        <f t="shared" si="21"/>
        <v>12399241</v>
      </c>
      <c r="N54" s="48">
        <f t="shared" si="21"/>
        <v>13004721</v>
      </c>
      <c r="O54" s="48">
        <f t="shared" ref="O54" si="22">+O53-O52</f>
        <v>10617263</v>
      </c>
      <c r="P54" s="22">
        <f>ROUND(M54/$N$74,2)</f>
        <v>2076.92</v>
      </c>
      <c r="Q54" s="22">
        <f>ROUND(N54/$N$74,2)</f>
        <v>2178.35</v>
      </c>
      <c r="R54" s="22">
        <f>ROUND(O54/$O$74,2)</f>
        <v>1778.44</v>
      </c>
    </row>
    <row r="55" spans="1:18" x14ac:dyDescent="0.25">
      <c r="A55" s="3"/>
      <c r="B55" t="s">
        <v>152</v>
      </c>
      <c r="C55" s="58"/>
      <c r="D55" s="95">
        <f t="shared" ref="D55:N55" si="23">+D52/D53</f>
        <v>0.1174296009668752</v>
      </c>
      <c r="E55" s="95">
        <f t="shared" si="23"/>
        <v>0.1174296009668752</v>
      </c>
      <c r="F55" s="95">
        <f t="shared" si="23"/>
        <v>0.1174296009668752</v>
      </c>
      <c r="G55" s="95">
        <f t="shared" si="23"/>
        <v>0.13192619002342376</v>
      </c>
      <c r="H55" s="95">
        <f t="shared" si="23"/>
        <v>0.13192619002342376</v>
      </c>
      <c r="I55" s="71">
        <f t="shared" si="23"/>
        <v>0.13192619002342376</v>
      </c>
      <c r="J55" s="71">
        <f t="shared" si="23"/>
        <v>0.14221419925971338</v>
      </c>
      <c r="K55" s="101">
        <f t="shared" si="23"/>
        <v>0.24174225824930254</v>
      </c>
      <c r="L55" s="101">
        <f t="shared" si="23"/>
        <v>0.35772243342994159</v>
      </c>
      <c r="M55" s="101">
        <f t="shared" si="23"/>
        <v>0.35772243342994159</v>
      </c>
      <c r="N55" s="101">
        <f t="shared" si="23"/>
        <v>0.36578226060046615</v>
      </c>
      <c r="O55" s="101">
        <f t="shared" ref="O55" si="24">+O52/O53</f>
        <v>0.43272336264840083</v>
      </c>
      <c r="P55" s="10"/>
      <c r="Q55" s="10"/>
      <c r="R55" s="10"/>
    </row>
    <row r="56" spans="1:18" x14ac:dyDescent="0.25">
      <c r="A56" s="11" t="s">
        <v>169</v>
      </c>
      <c r="C56" s="57"/>
      <c r="D56"/>
      <c r="I56" s="47"/>
      <c r="J56" s="47"/>
      <c r="K56" s="47"/>
      <c r="L56" s="47"/>
      <c r="M56" s="47"/>
      <c r="N56" s="47"/>
      <c r="O56" s="47"/>
    </row>
    <row r="57" spans="1:18" x14ac:dyDescent="0.25">
      <c r="B57" s="29" t="s">
        <v>151</v>
      </c>
      <c r="C57" s="56"/>
      <c r="D57" s="36">
        <f t="shared" ref="D57:N57" si="25">+D46+D52</f>
        <v>11335825</v>
      </c>
      <c r="E57" s="36">
        <f t="shared" si="25"/>
        <v>11962830</v>
      </c>
      <c r="F57" s="36">
        <f t="shared" si="25"/>
        <v>12339584</v>
      </c>
      <c r="G57" s="36">
        <f t="shared" si="25"/>
        <v>13880602</v>
      </c>
      <c r="H57" s="36">
        <f t="shared" si="25"/>
        <v>13859833</v>
      </c>
      <c r="I57" s="72">
        <f t="shared" si="25"/>
        <v>13930051</v>
      </c>
      <c r="J57" s="72">
        <f t="shared" si="25"/>
        <v>16002709</v>
      </c>
      <c r="K57" s="72">
        <f t="shared" si="25"/>
        <v>16833239</v>
      </c>
      <c r="L57" s="72">
        <f t="shared" si="25"/>
        <v>17473969</v>
      </c>
      <c r="M57" s="72">
        <f t="shared" si="25"/>
        <v>17792322</v>
      </c>
      <c r="N57" s="72">
        <f t="shared" si="25"/>
        <v>17975254</v>
      </c>
      <c r="O57" s="72">
        <f t="shared" ref="O57" si="26">+O46+O52</f>
        <v>19580520</v>
      </c>
    </row>
    <row r="58" spans="1:18" x14ac:dyDescent="0.25">
      <c r="B58" s="29" t="s">
        <v>197</v>
      </c>
      <c r="C58" s="56"/>
      <c r="D58" s="36">
        <f t="shared" ref="D58:N58" si="27">+D47+D53</f>
        <v>24490685</v>
      </c>
      <c r="E58" s="36">
        <f t="shared" si="27"/>
        <v>25440704</v>
      </c>
      <c r="F58" s="72">
        <f t="shared" si="27"/>
        <v>25842289</v>
      </c>
      <c r="G58" s="36">
        <f t="shared" si="27"/>
        <v>36609131</v>
      </c>
      <c r="H58" s="36">
        <f t="shared" si="27"/>
        <v>36668891</v>
      </c>
      <c r="I58" s="72">
        <f t="shared" si="27"/>
        <v>37306144</v>
      </c>
      <c r="J58" s="72">
        <f t="shared" si="27"/>
        <v>51339257</v>
      </c>
      <c r="K58" s="72">
        <f t="shared" si="27"/>
        <v>42502315</v>
      </c>
      <c r="L58" s="72">
        <f t="shared" si="27"/>
        <v>38245233</v>
      </c>
      <c r="M58" s="72">
        <f t="shared" si="27"/>
        <v>38431671</v>
      </c>
      <c r="N58" s="72">
        <f t="shared" si="27"/>
        <v>40551698</v>
      </c>
      <c r="O58" s="72">
        <f t="shared" ref="O58" si="28">+O47+O53</f>
        <v>38621729</v>
      </c>
    </row>
    <row r="59" spans="1:18" x14ac:dyDescent="0.25">
      <c r="B59" s="29" t="s">
        <v>158</v>
      </c>
      <c r="C59" s="56"/>
      <c r="D59">
        <f t="shared" ref="D59:N59" si="29">+D58-D57</f>
        <v>13154860</v>
      </c>
      <c r="E59">
        <f t="shared" si="29"/>
        <v>13477874</v>
      </c>
      <c r="F59">
        <f t="shared" si="29"/>
        <v>13502705</v>
      </c>
      <c r="G59">
        <f t="shared" si="29"/>
        <v>22728529</v>
      </c>
      <c r="H59">
        <f t="shared" si="29"/>
        <v>22809058</v>
      </c>
      <c r="I59" s="47">
        <f t="shared" si="29"/>
        <v>23376093</v>
      </c>
      <c r="J59" s="47">
        <f t="shared" si="29"/>
        <v>35336548</v>
      </c>
      <c r="K59" s="47">
        <f t="shared" si="29"/>
        <v>25669076</v>
      </c>
      <c r="L59" s="47">
        <f t="shared" si="29"/>
        <v>20771264</v>
      </c>
      <c r="M59" s="47">
        <f t="shared" si="29"/>
        <v>20639349</v>
      </c>
      <c r="N59" s="47">
        <f t="shared" si="29"/>
        <v>22576444</v>
      </c>
      <c r="O59" s="47">
        <f t="shared" ref="O59" si="30">+O58-O57</f>
        <v>19041209</v>
      </c>
      <c r="P59" s="22">
        <f>ROUND(M59/$N$74,2)</f>
        <v>3457.18</v>
      </c>
      <c r="Q59" s="22">
        <f>ROUND(N59/$N$74,2)</f>
        <v>3781.65</v>
      </c>
      <c r="R59" s="22">
        <f>ROUND(O59/$O$74,2)</f>
        <v>3189.48</v>
      </c>
    </row>
    <row r="60" spans="1:18" x14ac:dyDescent="0.25">
      <c r="B60" t="s">
        <v>152</v>
      </c>
      <c r="C60" s="58"/>
      <c r="D60" s="95">
        <f t="shared" ref="D60:N60" si="31">+D57/D58</f>
        <v>0.46286271698811199</v>
      </c>
      <c r="E60" s="95">
        <f t="shared" si="31"/>
        <v>0.4702240158133989</v>
      </c>
      <c r="F60" s="95">
        <f t="shared" si="31"/>
        <v>0.47749578220412287</v>
      </c>
      <c r="G60" s="95">
        <f t="shared" si="31"/>
        <v>0.37915682838797787</v>
      </c>
      <c r="H60" s="95">
        <f t="shared" si="31"/>
        <v>0.37797251626726319</v>
      </c>
      <c r="I60" s="71">
        <f t="shared" si="31"/>
        <v>0.37339830672395408</v>
      </c>
      <c r="J60" s="71">
        <f t="shared" si="31"/>
        <v>0.3117051148597651</v>
      </c>
      <c r="K60" s="71">
        <f t="shared" si="31"/>
        <v>0.39605463843557698</v>
      </c>
      <c r="L60" s="71">
        <f t="shared" si="31"/>
        <v>0.45689273222626203</v>
      </c>
      <c r="M60" s="71">
        <f t="shared" si="31"/>
        <v>0.46295988535080873</v>
      </c>
      <c r="N60" s="71">
        <f t="shared" si="31"/>
        <v>0.44326760373881263</v>
      </c>
      <c r="O60" s="71">
        <f t="shared" ref="O60" si="32">+O57/O58</f>
        <v>0.50698196344342839</v>
      </c>
      <c r="P60" s="10"/>
      <c r="Q60" s="10"/>
      <c r="R60" s="10"/>
    </row>
    <row r="61" spans="1:18" x14ac:dyDescent="0.25">
      <c r="C61" s="57"/>
      <c r="D61"/>
      <c r="I61" s="47"/>
      <c r="J61" s="47"/>
      <c r="K61" s="47"/>
      <c r="L61" s="47"/>
      <c r="M61" s="47"/>
      <c r="N61" s="47"/>
      <c r="O61" s="47"/>
    </row>
    <row r="62" spans="1:18" x14ac:dyDescent="0.25">
      <c r="A62" s="27"/>
      <c r="B62" s="47"/>
      <c r="C62" s="59"/>
      <c r="D62" s="48"/>
      <c r="E62" s="48"/>
      <c r="F62" s="48"/>
      <c r="G62" s="48"/>
      <c r="H62" s="48"/>
      <c r="I62" s="48"/>
      <c r="J62" s="48"/>
      <c r="K62" s="48"/>
      <c r="L62" s="48"/>
      <c r="M62" s="48"/>
      <c r="N62" s="48"/>
      <c r="O62" s="48"/>
      <c r="P62" s="47"/>
    </row>
    <row r="63" spans="1:18" x14ac:dyDescent="0.25">
      <c r="A63" s="30" t="s">
        <v>157</v>
      </c>
      <c r="B63" s="27"/>
      <c r="C63" s="56"/>
      <c r="D63" s="56"/>
      <c r="J63" s="47"/>
      <c r="K63" s="47"/>
      <c r="L63" s="47"/>
      <c r="M63" s="47"/>
      <c r="N63" s="47"/>
      <c r="O63" s="47"/>
    </row>
    <row r="64" spans="1:18" x14ac:dyDescent="0.25">
      <c r="A64" s="38" t="s">
        <v>263</v>
      </c>
      <c r="B64" s="27"/>
      <c r="C64" s="55" t="s">
        <v>262</v>
      </c>
      <c r="D64" s="55"/>
      <c r="E64" s="35">
        <v>2208188</v>
      </c>
      <c r="F64" s="35">
        <v>1684768</v>
      </c>
      <c r="G64" s="35">
        <v>1195001</v>
      </c>
      <c r="H64" s="48">
        <v>3100000</v>
      </c>
      <c r="I64" s="48">
        <v>2895000</v>
      </c>
      <c r="J64" s="48">
        <v>2675000</v>
      </c>
      <c r="K64" s="48">
        <f>2330000+195000</f>
        <v>2525000</v>
      </c>
      <c r="L64" s="48">
        <v>2365000</v>
      </c>
      <c r="M64" s="48">
        <v>2165000</v>
      </c>
      <c r="N64" s="48">
        <v>1955000</v>
      </c>
      <c r="O64" s="48">
        <f>540000+1205000</f>
        <v>1745000</v>
      </c>
    </row>
    <row r="65" spans="1:18" x14ac:dyDescent="0.25">
      <c r="A65" s="38" t="s">
        <v>786</v>
      </c>
      <c r="B65" s="27"/>
      <c r="C65" s="55" t="s">
        <v>261</v>
      </c>
      <c r="D65" s="55"/>
      <c r="E65" s="35"/>
      <c r="F65" s="35"/>
      <c r="G65" s="35"/>
      <c r="H65" s="35">
        <v>0</v>
      </c>
      <c r="I65" s="48">
        <v>0</v>
      </c>
      <c r="J65" s="48">
        <v>0</v>
      </c>
      <c r="K65" s="48">
        <v>0</v>
      </c>
      <c r="L65" s="48">
        <v>0</v>
      </c>
      <c r="M65" s="48"/>
      <c r="N65" s="48">
        <v>462596</v>
      </c>
      <c r="O65" s="48">
        <v>422000</v>
      </c>
    </row>
    <row r="66" spans="1:18" x14ac:dyDescent="0.25">
      <c r="A66" s="38" t="s">
        <v>174</v>
      </c>
      <c r="B66" s="27"/>
      <c r="C66" s="55"/>
      <c r="D66" s="55"/>
      <c r="E66" s="35"/>
      <c r="F66" s="35"/>
      <c r="G66" s="35"/>
      <c r="H66" s="35"/>
      <c r="I66" s="48">
        <v>0</v>
      </c>
      <c r="J66" s="48">
        <v>0</v>
      </c>
      <c r="K66" s="48">
        <v>0</v>
      </c>
      <c r="L66" s="48">
        <v>0</v>
      </c>
      <c r="M66" s="48">
        <v>0</v>
      </c>
      <c r="N66" s="106">
        <v>0</v>
      </c>
      <c r="O66" s="106">
        <v>0</v>
      </c>
    </row>
    <row r="67" spans="1:18" x14ac:dyDescent="0.25">
      <c r="A67" s="31" t="s">
        <v>159</v>
      </c>
      <c r="B67" s="28"/>
      <c r="C67" s="56"/>
      <c r="D67" s="56"/>
      <c r="E67" s="12">
        <f t="shared" ref="E67:O67" si="33">SUM(E63:E66)</f>
        <v>2208188</v>
      </c>
      <c r="F67" s="12">
        <f t="shared" si="33"/>
        <v>1684768</v>
      </c>
      <c r="G67" s="12">
        <f t="shared" si="33"/>
        <v>1195001</v>
      </c>
      <c r="H67" s="12">
        <f t="shared" si="33"/>
        <v>3100000</v>
      </c>
      <c r="I67" s="12">
        <f t="shared" si="33"/>
        <v>2895000</v>
      </c>
      <c r="J67" s="73">
        <f t="shared" si="33"/>
        <v>2675000</v>
      </c>
      <c r="K67" s="73">
        <f t="shared" si="33"/>
        <v>2525000</v>
      </c>
      <c r="L67" s="73">
        <f t="shared" si="33"/>
        <v>2365000</v>
      </c>
      <c r="M67" s="73">
        <f t="shared" si="33"/>
        <v>2165000</v>
      </c>
      <c r="N67" s="73">
        <f t="shared" si="33"/>
        <v>2417596</v>
      </c>
      <c r="O67" s="73">
        <f t="shared" si="33"/>
        <v>2167000</v>
      </c>
      <c r="P67" s="22">
        <f t="shared" ref="P67:P72" si="34">ROUND(M67/$N$74,2)</f>
        <v>362.65</v>
      </c>
      <c r="Q67" s="22">
        <f t="shared" ref="Q67:R72" si="35">ROUND(N67/$N$74,2)</f>
        <v>404.96</v>
      </c>
      <c r="R67" s="22">
        <f>ROUND(O67/$O$74,2)</f>
        <v>362.98</v>
      </c>
    </row>
    <row r="68" spans="1:18" x14ac:dyDescent="0.25">
      <c r="A68" s="27" t="s">
        <v>154</v>
      </c>
      <c r="B68" s="27"/>
      <c r="C68" s="55" t="s">
        <v>257</v>
      </c>
      <c r="D68" s="55"/>
      <c r="E68" s="37">
        <v>520200</v>
      </c>
      <c r="F68" s="35">
        <v>567773</v>
      </c>
      <c r="G68" s="35">
        <v>563315</v>
      </c>
      <c r="H68" s="48">
        <v>500556</v>
      </c>
      <c r="I68" s="48">
        <v>541756</v>
      </c>
      <c r="J68" s="48">
        <v>495832</v>
      </c>
      <c r="K68" s="48">
        <f>298160+187168</f>
        <v>485328</v>
      </c>
      <c r="L68" s="48">
        <v>473366</v>
      </c>
      <c r="M68" s="48">
        <v>516553</v>
      </c>
      <c r="N68" s="48">
        <v>528134</v>
      </c>
      <c r="O68" s="48">
        <v>525757</v>
      </c>
      <c r="P68" s="22">
        <f t="shared" si="34"/>
        <v>86.52</v>
      </c>
      <c r="Q68" s="22">
        <f t="shared" si="35"/>
        <v>88.46</v>
      </c>
      <c r="R68" s="22">
        <f>ROUND(O68/$O$74,2)</f>
        <v>88.07</v>
      </c>
    </row>
    <row r="69" spans="1:18" hidden="1" x14ac:dyDescent="0.25">
      <c r="A69" s="27" t="s">
        <v>153</v>
      </c>
      <c r="B69" s="27"/>
      <c r="C69" s="55" t="s">
        <v>260</v>
      </c>
      <c r="D69" s="55"/>
      <c r="E69" s="37"/>
      <c r="F69" s="35"/>
      <c r="G69" s="35"/>
      <c r="H69" s="35"/>
      <c r="I69" s="35"/>
      <c r="J69" s="48">
        <v>0</v>
      </c>
      <c r="K69" s="48">
        <v>0</v>
      </c>
      <c r="L69" s="48">
        <v>0</v>
      </c>
      <c r="M69" s="48">
        <v>0</v>
      </c>
      <c r="N69" s="48">
        <v>0</v>
      </c>
      <c r="O69" s="48"/>
      <c r="P69" s="22">
        <f t="shared" si="34"/>
        <v>0</v>
      </c>
      <c r="Q69" s="22">
        <f t="shared" si="35"/>
        <v>0</v>
      </c>
      <c r="R69" s="22">
        <f t="shared" si="35"/>
        <v>0</v>
      </c>
    </row>
    <row r="70" spans="1:18" hidden="1" x14ac:dyDescent="0.25">
      <c r="A70" s="27" t="s">
        <v>155</v>
      </c>
      <c r="B70" s="27"/>
      <c r="C70" s="55" t="s">
        <v>259</v>
      </c>
      <c r="D70" s="55"/>
      <c r="E70" s="37"/>
      <c r="F70" s="35"/>
      <c r="G70" s="35"/>
      <c r="H70" s="35"/>
      <c r="I70" s="35"/>
      <c r="J70" s="48">
        <v>0</v>
      </c>
      <c r="K70" s="48">
        <v>0</v>
      </c>
      <c r="L70" s="48">
        <v>0</v>
      </c>
      <c r="M70" s="48">
        <v>0</v>
      </c>
      <c r="N70" s="48">
        <v>0</v>
      </c>
      <c r="O70" s="48"/>
      <c r="P70" s="22">
        <f t="shared" si="34"/>
        <v>0</v>
      </c>
      <c r="Q70" s="22">
        <f t="shared" si="35"/>
        <v>0</v>
      </c>
      <c r="R70" s="22">
        <f t="shared" si="35"/>
        <v>0</v>
      </c>
    </row>
    <row r="71" spans="1:18" hidden="1" x14ac:dyDescent="0.25">
      <c r="A71" s="27" t="s">
        <v>156</v>
      </c>
      <c r="B71" s="27"/>
      <c r="C71" s="55" t="s">
        <v>258</v>
      </c>
      <c r="D71" s="55"/>
      <c r="E71" s="37"/>
      <c r="F71" s="35"/>
      <c r="G71" s="35"/>
      <c r="H71" s="35"/>
      <c r="I71" s="35"/>
      <c r="J71" s="48">
        <v>0</v>
      </c>
      <c r="K71" s="48">
        <v>0</v>
      </c>
      <c r="L71" s="48">
        <v>0</v>
      </c>
      <c r="M71" s="48">
        <v>0</v>
      </c>
      <c r="N71" s="48">
        <v>0</v>
      </c>
      <c r="O71" s="48"/>
      <c r="P71" s="22">
        <f t="shared" si="34"/>
        <v>0</v>
      </c>
      <c r="Q71" s="22">
        <f t="shared" si="35"/>
        <v>0</v>
      </c>
      <c r="R71" s="22">
        <f t="shared" si="35"/>
        <v>0</v>
      </c>
    </row>
    <row r="72" spans="1:18" ht="15.75" thickBot="1" x14ac:dyDescent="0.3">
      <c r="A72" s="27"/>
      <c r="B72" s="27" t="s">
        <v>264</v>
      </c>
      <c r="C72" s="56"/>
      <c r="D72" s="56"/>
      <c r="E72" s="5">
        <f t="shared" ref="E72:O72" si="36">SUM(E67:E71)</f>
        <v>2728388</v>
      </c>
      <c r="F72" s="5">
        <f t="shared" si="36"/>
        <v>2252541</v>
      </c>
      <c r="G72" s="5">
        <f t="shared" si="36"/>
        <v>1758316</v>
      </c>
      <c r="H72" s="5">
        <f t="shared" si="36"/>
        <v>3600556</v>
      </c>
      <c r="I72" s="5">
        <f t="shared" si="36"/>
        <v>3436756</v>
      </c>
      <c r="J72" s="67">
        <f t="shared" si="36"/>
        <v>3170832</v>
      </c>
      <c r="K72" s="67">
        <f t="shared" si="36"/>
        <v>3010328</v>
      </c>
      <c r="L72" s="67">
        <f t="shared" si="36"/>
        <v>2838366</v>
      </c>
      <c r="M72" s="67">
        <f t="shared" si="36"/>
        <v>2681553</v>
      </c>
      <c r="N72" s="67">
        <f t="shared" si="36"/>
        <v>2945730</v>
      </c>
      <c r="O72" s="67">
        <f t="shared" si="36"/>
        <v>2692757</v>
      </c>
      <c r="P72" s="22">
        <f t="shared" si="34"/>
        <v>449.17</v>
      </c>
      <c r="Q72" s="22">
        <f t="shared" si="35"/>
        <v>493.42</v>
      </c>
      <c r="R72" s="22">
        <f>ROUND(O72/$O$74,2)</f>
        <v>451.05</v>
      </c>
    </row>
    <row r="73" spans="1:18" ht="15.75" thickTop="1" x14ac:dyDescent="0.25">
      <c r="C73" s="57"/>
      <c r="D73" s="57"/>
    </row>
    <row r="74" spans="1:18" x14ac:dyDescent="0.25">
      <c r="A74" s="21" t="s">
        <v>162</v>
      </c>
      <c r="B74" s="32"/>
      <c r="C74" s="55"/>
      <c r="D74" s="55"/>
      <c r="E74" s="35"/>
      <c r="F74" s="35"/>
      <c r="G74" s="35"/>
      <c r="H74" s="35">
        <v>6459</v>
      </c>
      <c r="I74" s="35">
        <v>6459</v>
      </c>
      <c r="J74" s="35">
        <v>5970</v>
      </c>
      <c r="K74" s="35">
        <v>5970</v>
      </c>
      <c r="L74" s="35">
        <v>5970</v>
      </c>
      <c r="M74" s="35">
        <v>5970</v>
      </c>
      <c r="N74" s="35">
        <v>5970</v>
      </c>
      <c r="O74" s="35">
        <v>5970</v>
      </c>
    </row>
    <row r="75" spans="1:18" x14ac:dyDescent="0.25">
      <c r="C75" s="57"/>
      <c r="D75" s="57"/>
    </row>
    <row r="76" spans="1:18" x14ac:dyDescent="0.25">
      <c r="A76" s="21" t="s">
        <v>198</v>
      </c>
      <c r="C76" s="57"/>
      <c r="D76" s="57"/>
    </row>
    <row r="77" spans="1:18" x14ac:dyDescent="0.25">
      <c r="A77" s="35" t="s">
        <v>761</v>
      </c>
      <c r="B77" s="50"/>
      <c r="C77" s="60"/>
      <c r="D77" s="60"/>
      <c r="E77" s="50"/>
      <c r="F77" s="50"/>
      <c r="G77" s="50"/>
      <c r="H77" s="50"/>
      <c r="I77" s="50"/>
      <c r="J77" s="50"/>
      <c r="K77" s="50"/>
      <c r="L77" s="50"/>
      <c r="M77" s="50"/>
      <c r="N77" s="50"/>
      <c r="O77" s="50"/>
    </row>
    <row r="78" spans="1:18" x14ac:dyDescent="0.25">
      <c r="C78" s="57"/>
      <c r="D78" s="57"/>
    </row>
    <row r="79" spans="1:18" x14ac:dyDescent="0.25">
      <c r="C79" s="57"/>
      <c r="D79" s="57"/>
    </row>
    <row r="80" spans="1:18" x14ac:dyDescent="0.25">
      <c r="C80" s="57"/>
      <c r="D80" s="57"/>
    </row>
    <row r="81" spans="1:15" x14ac:dyDescent="0.25">
      <c r="C81" s="57"/>
      <c r="D81" s="57"/>
    </row>
    <row r="82" spans="1:15" x14ac:dyDescent="0.25">
      <c r="C82" s="57"/>
      <c r="D82" s="57"/>
    </row>
    <row r="83" spans="1:15" x14ac:dyDescent="0.25">
      <c r="C83" s="57"/>
      <c r="D83" s="57"/>
    </row>
    <row r="84" spans="1:15" x14ac:dyDescent="0.25">
      <c r="A84" s="25" t="s">
        <v>173</v>
      </c>
      <c r="B84" s="25"/>
      <c r="C84" s="61"/>
      <c r="D84" s="61"/>
      <c r="E84" s="25"/>
      <c r="F84" s="25"/>
      <c r="G84" s="25"/>
      <c r="H84" s="25"/>
      <c r="I84" s="25"/>
      <c r="J84" s="25"/>
      <c r="K84" s="25"/>
      <c r="L84" s="25"/>
      <c r="M84" s="25"/>
      <c r="N84" s="25"/>
      <c r="O84" s="25"/>
    </row>
    <row r="85" spans="1:15" ht="17.25" x14ac:dyDescent="0.4">
      <c r="A85" s="25" t="s">
        <v>171</v>
      </c>
      <c r="B85" s="39">
        <v>1</v>
      </c>
      <c r="C85" s="62"/>
      <c r="D85" s="62"/>
      <c r="E85" s="26">
        <f t="shared" ref="E85:N85" si="37">+E2</f>
        <v>2007</v>
      </c>
      <c r="F85" s="26">
        <f t="shared" si="37"/>
        <v>2008</v>
      </c>
      <c r="G85" s="26">
        <f t="shared" si="37"/>
        <v>2009</v>
      </c>
      <c r="H85" s="26">
        <f t="shared" si="37"/>
        <v>2010</v>
      </c>
      <c r="I85" s="26">
        <f t="shared" si="37"/>
        <v>2011</v>
      </c>
      <c r="J85" s="26">
        <f t="shared" si="37"/>
        <v>2012</v>
      </c>
      <c r="K85" s="26">
        <f t="shared" si="37"/>
        <v>2013</v>
      </c>
      <c r="L85" s="26">
        <f t="shared" si="37"/>
        <v>2014</v>
      </c>
      <c r="M85" s="26">
        <f t="shared" si="37"/>
        <v>2015</v>
      </c>
      <c r="N85" s="26">
        <f t="shared" si="37"/>
        <v>2016</v>
      </c>
      <c r="O85" s="26">
        <f t="shared" ref="O85" si="38">+O2</f>
        <v>2017</v>
      </c>
    </row>
    <row r="86" spans="1:15" x14ac:dyDescent="0.25">
      <c r="A86" s="25"/>
      <c r="B86" s="39" t="str">
        <f>INDEX(B7:B16,B85)</f>
        <v>Property Taxes</v>
      </c>
      <c r="C86" s="63"/>
      <c r="D86" s="63"/>
      <c r="E86" s="25">
        <f t="shared" ref="E86:O86" si="39">INDEX(E$7:E$16,$B$85)</f>
        <v>5184152</v>
      </c>
      <c r="F86" s="25">
        <f t="shared" si="39"/>
        <v>5430977</v>
      </c>
      <c r="G86" s="25">
        <f t="shared" si="39"/>
        <v>5443841</v>
      </c>
      <c r="H86" s="25">
        <f t="shared" si="39"/>
        <v>5123838</v>
      </c>
      <c r="I86" s="25">
        <f t="shared" si="39"/>
        <v>4638561</v>
      </c>
      <c r="J86" s="25">
        <f t="shared" si="39"/>
        <v>4739832</v>
      </c>
      <c r="K86" s="25">
        <f t="shared" si="39"/>
        <v>4766329</v>
      </c>
      <c r="L86" s="25">
        <f t="shared" si="39"/>
        <v>4890657</v>
      </c>
      <c r="M86" s="25">
        <f t="shared" si="39"/>
        <v>5025712</v>
      </c>
      <c r="N86" s="25">
        <f t="shared" si="39"/>
        <v>5316091</v>
      </c>
      <c r="O86" s="25">
        <f t="shared" si="39"/>
        <v>5433778</v>
      </c>
    </row>
    <row r="87" spans="1:15" x14ac:dyDescent="0.25">
      <c r="A87" s="25" t="s">
        <v>172</v>
      </c>
      <c r="B87" s="39">
        <v>1</v>
      </c>
      <c r="C87" s="63"/>
      <c r="D87" s="63"/>
      <c r="E87" s="25"/>
      <c r="F87" s="25"/>
      <c r="G87" s="25"/>
      <c r="H87" s="25"/>
      <c r="I87" s="25"/>
      <c r="J87" s="25"/>
      <c r="K87" s="25"/>
      <c r="L87" s="25"/>
      <c r="M87" s="25"/>
      <c r="N87" s="25"/>
      <c r="O87" s="25"/>
    </row>
    <row r="88" spans="1:15" x14ac:dyDescent="0.25">
      <c r="A88" s="25"/>
      <c r="B88" s="39" t="str">
        <f>INDEX(B$18:B$30,$B$87)</f>
        <v>General Government</v>
      </c>
      <c r="C88" s="63"/>
      <c r="D88" s="63"/>
      <c r="E88" s="25">
        <f t="shared" ref="E88:K88" si="40">INDEX(E$18:E$30,$B$87)</f>
        <v>2235092</v>
      </c>
      <c r="F88" s="25">
        <f t="shared" si="40"/>
        <v>2284292</v>
      </c>
      <c r="G88" s="25">
        <f t="shared" si="40"/>
        <v>2388360</v>
      </c>
      <c r="H88" s="25">
        <f t="shared" si="40"/>
        <v>2054227</v>
      </c>
      <c r="I88" s="25">
        <f t="shared" si="40"/>
        <v>1770859</v>
      </c>
      <c r="J88" s="25">
        <f t="shared" si="40"/>
        <v>1686644</v>
      </c>
      <c r="K88" s="25">
        <f t="shared" si="40"/>
        <v>1810824</v>
      </c>
      <c r="L88" s="25">
        <f>INDEX(L$18:L$30,$B$87)+L28</f>
        <v>2123925</v>
      </c>
      <c r="M88" s="25">
        <f>INDEX(M$18:M$30,$B$87)+M28</f>
        <v>2124513</v>
      </c>
      <c r="N88" s="25">
        <f>INDEX(N$18:N$30,$B$87)+N28</f>
        <v>2041125</v>
      </c>
      <c r="O88" s="25">
        <f>INDEX(O$18:O$30,$B$87)+O28</f>
        <v>2097602</v>
      </c>
    </row>
    <row r="89" spans="1:15" x14ac:dyDescent="0.25">
      <c r="C89" s="57"/>
      <c r="D89" s="57"/>
    </row>
    <row r="90" spans="1:15" x14ac:dyDescent="0.25">
      <c r="C90" s="57"/>
      <c r="D90" s="57"/>
    </row>
    <row r="91" spans="1:15" ht="17.25" x14ac:dyDescent="0.4">
      <c r="B91" s="64" t="s">
        <v>224</v>
      </c>
      <c r="C91" s="57"/>
      <c r="D91" s="57"/>
    </row>
    <row r="92" spans="1:15" x14ac:dyDescent="0.25">
      <c r="B92" t="s">
        <v>228</v>
      </c>
      <c r="C92" s="55" t="s">
        <v>229</v>
      </c>
      <c r="D92" s="55"/>
      <c r="H92">
        <v>0</v>
      </c>
      <c r="I92" s="48">
        <v>0</v>
      </c>
      <c r="J92" s="48">
        <v>2000</v>
      </c>
      <c r="K92" s="48">
        <v>0</v>
      </c>
      <c r="L92" s="48">
        <v>0</v>
      </c>
      <c r="M92" s="48">
        <v>0</v>
      </c>
      <c r="N92" s="48">
        <v>0</v>
      </c>
      <c r="O92" s="48">
        <v>0</v>
      </c>
    </row>
    <row r="93" spans="1:15" x14ac:dyDescent="0.25">
      <c r="B93" t="s">
        <v>226</v>
      </c>
      <c r="C93" s="55" t="s">
        <v>230</v>
      </c>
      <c r="D93" s="55"/>
      <c r="H93">
        <v>0</v>
      </c>
      <c r="I93" s="48">
        <v>0</v>
      </c>
      <c r="J93" s="48">
        <v>0</v>
      </c>
      <c r="K93" s="48">
        <v>0</v>
      </c>
      <c r="L93" s="48">
        <v>0</v>
      </c>
      <c r="M93" s="48">
        <v>0</v>
      </c>
      <c r="N93" s="48">
        <v>0</v>
      </c>
      <c r="O93" s="48">
        <v>0</v>
      </c>
    </row>
    <row r="94" spans="1:15" x14ac:dyDescent="0.25">
      <c r="B94" t="s">
        <v>295</v>
      </c>
      <c r="C94" s="55" t="s">
        <v>231</v>
      </c>
      <c r="D94" s="55"/>
      <c r="G94">
        <v>215</v>
      </c>
      <c r="H94">
        <v>10000</v>
      </c>
      <c r="I94" s="48">
        <v>0</v>
      </c>
      <c r="J94" s="48">
        <v>7641</v>
      </c>
      <c r="K94" s="48">
        <v>0</v>
      </c>
      <c r="L94" s="48">
        <v>12013</v>
      </c>
      <c r="M94" s="48">
        <v>0</v>
      </c>
      <c r="N94" s="48">
        <v>0</v>
      </c>
      <c r="O94" s="48">
        <v>0</v>
      </c>
    </row>
    <row r="95" spans="1:15" x14ac:dyDescent="0.25">
      <c r="B95" t="s">
        <v>227</v>
      </c>
      <c r="C95" s="55" t="s">
        <v>232</v>
      </c>
      <c r="D95" s="55"/>
      <c r="H95">
        <v>0</v>
      </c>
      <c r="I95" s="48">
        <v>0</v>
      </c>
      <c r="J95" s="48">
        <v>0</v>
      </c>
      <c r="K95" s="48">
        <v>0</v>
      </c>
      <c r="L95" s="48">
        <v>0</v>
      </c>
      <c r="M95" s="48">
        <v>0</v>
      </c>
      <c r="N95" s="48">
        <v>0</v>
      </c>
      <c r="O95" s="48">
        <v>0</v>
      </c>
    </row>
    <row r="96" spans="1:15" ht="15.75" thickBot="1" x14ac:dyDescent="0.3">
      <c r="B96" s="65" t="s">
        <v>238</v>
      </c>
      <c r="C96" s="57"/>
      <c r="D96" s="57"/>
      <c r="G96" s="5">
        <f t="shared" ref="G96:N96" si="41">SUM(G92:G95)</f>
        <v>215</v>
      </c>
      <c r="H96" s="5">
        <f t="shared" si="41"/>
        <v>10000</v>
      </c>
      <c r="I96" s="5">
        <f t="shared" si="41"/>
        <v>0</v>
      </c>
      <c r="J96" s="5">
        <f t="shared" si="41"/>
        <v>9641</v>
      </c>
      <c r="K96" s="5">
        <f t="shared" si="41"/>
        <v>0</v>
      </c>
      <c r="L96" s="5">
        <f t="shared" si="41"/>
        <v>12013</v>
      </c>
      <c r="M96" s="5">
        <f t="shared" si="41"/>
        <v>0</v>
      </c>
      <c r="N96" s="5">
        <f t="shared" si="41"/>
        <v>0</v>
      </c>
      <c r="O96" s="5">
        <f t="shared" ref="O96" si="42">SUM(O92:O95)</f>
        <v>0</v>
      </c>
    </row>
    <row r="97" spans="2:16" ht="15.75" thickTop="1" x14ac:dyDescent="0.25">
      <c r="C97" s="57"/>
      <c r="D97" s="57"/>
    </row>
    <row r="98" spans="2:16" ht="17.25" x14ac:dyDescent="0.4">
      <c r="B98" s="15" t="s">
        <v>233</v>
      </c>
      <c r="C98" s="57"/>
      <c r="D98" s="57"/>
    </row>
    <row r="99" spans="2:16" x14ac:dyDescent="0.25">
      <c r="B99" t="s">
        <v>234</v>
      </c>
      <c r="C99" s="55" t="s">
        <v>236</v>
      </c>
      <c r="D99" s="55"/>
      <c r="G99">
        <v>885536</v>
      </c>
      <c r="H99">
        <v>1524850</v>
      </c>
      <c r="I99" s="48">
        <v>1036081</v>
      </c>
      <c r="J99" s="48">
        <v>1397000</v>
      </c>
      <c r="K99" s="48">
        <v>1367556</v>
      </c>
      <c r="L99" s="48">
        <v>901159</v>
      </c>
      <c r="M99" s="48">
        <v>0</v>
      </c>
      <c r="N99" s="48">
        <v>0</v>
      </c>
      <c r="O99" s="48"/>
      <c r="P99" s="47"/>
    </row>
    <row r="100" spans="2:16" x14ac:dyDescent="0.25">
      <c r="B100" t="s">
        <v>235</v>
      </c>
      <c r="C100" s="55" t="s">
        <v>237</v>
      </c>
      <c r="D100" s="55"/>
      <c r="G100">
        <v>-885536</v>
      </c>
      <c r="H100">
        <v>-1524850</v>
      </c>
      <c r="I100" s="48">
        <v>-1036081</v>
      </c>
      <c r="J100" s="48">
        <v>-1397000</v>
      </c>
      <c r="K100" s="48">
        <v>-1367556</v>
      </c>
      <c r="L100" s="48">
        <v>-901159</v>
      </c>
      <c r="M100" s="48">
        <v>0</v>
      </c>
      <c r="N100" s="48">
        <v>0</v>
      </c>
      <c r="O100" s="48"/>
      <c r="P100" s="47"/>
    </row>
    <row r="101" spans="2:16" ht="15.75" thickBot="1" x14ac:dyDescent="0.3">
      <c r="B101" s="3" t="s">
        <v>238</v>
      </c>
      <c r="C101" s="57"/>
      <c r="D101" s="57"/>
      <c r="G101">
        <f t="shared" ref="G101:M101" si="43">SUM(G99:G100)</f>
        <v>0</v>
      </c>
      <c r="H101" s="5">
        <f t="shared" si="43"/>
        <v>0</v>
      </c>
      <c r="I101" s="5">
        <f t="shared" si="43"/>
        <v>0</v>
      </c>
      <c r="J101" s="5">
        <f t="shared" si="43"/>
        <v>0</v>
      </c>
      <c r="K101" s="5">
        <f t="shared" si="43"/>
        <v>0</v>
      </c>
      <c r="L101" s="5">
        <f t="shared" si="43"/>
        <v>0</v>
      </c>
      <c r="M101" s="5">
        <f t="shared" si="43"/>
        <v>0</v>
      </c>
      <c r="N101" s="5">
        <f t="shared" ref="N101" si="44">SUM(N99:N100)</f>
        <v>0</v>
      </c>
      <c r="O101" s="103"/>
    </row>
    <row r="102" spans="2:16" ht="15.75" thickTop="1" x14ac:dyDescent="0.25">
      <c r="C102" s="57"/>
      <c r="D102" s="57"/>
    </row>
    <row r="104" spans="2:16" x14ac:dyDescent="0.25">
      <c r="B104" s="66" t="s">
        <v>254</v>
      </c>
    </row>
    <row r="105" spans="2:16" x14ac:dyDescent="0.25">
      <c r="B105" t="s">
        <v>241</v>
      </c>
      <c r="C105" s="55" t="s">
        <v>240</v>
      </c>
      <c r="D105" s="55"/>
      <c r="I105" s="48">
        <v>0</v>
      </c>
      <c r="J105" s="48">
        <v>0</v>
      </c>
      <c r="K105" s="48">
        <v>0</v>
      </c>
      <c r="L105" s="48">
        <v>0</v>
      </c>
      <c r="M105" s="48">
        <v>0</v>
      </c>
      <c r="N105" s="48">
        <v>0</v>
      </c>
      <c r="O105" s="48"/>
    </row>
    <row r="106" spans="2:16" x14ac:dyDescent="0.25">
      <c r="B106" t="s">
        <v>294</v>
      </c>
      <c r="C106" s="55" t="s">
        <v>247</v>
      </c>
      <c r="D106" s="55"/>
      <c r="I106" s="48">
        <v>0</v>
      </c>
      <c r="J106" s="48">
        <v>0</v>
      </c>
      <c r="K106" s="48">
        <v>0</v>
      </c>
      <c r="L106" s="48">
        <v>0</v>
      </c>
      <c r="M106" s="48">
        <v>0</v>
      </c>
      <c r="N106" s="48">
        <v>0</v>
      </c>
      <c r="O106" s="48"/>
    </row>
    <row r="107" spans="2:16" x14ac:dyDescent="0.25">
      <c r="B107" t="s">
        <v>242</v>
      </c>
      <c r="C107" s="55" t="s">
        <v>246</v>
      </c>
      <c r="D107" s="55"/>
      <c r="I107" s="48">
        <v>0</v>
      </c>
      <c r="J107" s="48">
        <v>0</v>
      </c>
      <c r="K107" s="48">
        <v>0</v>
      </c>
      <c r="L107" s="48">
        <v>0</v>
      </c>
      <c r="M107" s="48">
        <v>0</v>
      </c>
      <c r="N107" s="48">
        <v>0</v>
      </c>
      <c r="O107" s="48"/>
    </row>
    <row r="108" spans="2:16" x14ac:dyDescent="0.25">
      <c r="B108" t="s">
        <v>243</v>
      </c>
      <c r="C108" s="55" t="s">
        <v>245</v>
      </c>
      <c r="D108" s="55"/>
      <c r="I108" s="48">
        <v>0</v>
      </c>
      <c r="J108" s="48">
        <v>0</v>
      </c>
      <c r="K108" s="48">
        <v>0</v>
      </c>
      <c r="L108" s="48">
        <v>0</v>
      </c>
      <c r="M108" s="48">
        <v>0</v>
      </c>
      <c r="N108" s="48">
        <v>0</v>
      </c>
      <c r="O108" s="48"/>
    </row>
    <row r="109" spans="2:16" x14ac:dyDescent="0.25">
      <c r="B109" t="s">
        <v>244</v>
      </c>
      <c r="C109" s="55" t="s">
        <v>248</v>
      </c>
      <c r="D109" s="55"/>
      <c r="I109" s="48">
        <v>0</v>
      </c>
      <c r="J109" s="48">
        <v>0</v>
      </c>
      <c r="K109" s="48">
        <v>0</v>
      </c>
      <c r="L109" s="48">
        <v>0</v>
      </c>
      <c r="M109" s="48">
        <v>0</v>
      </c>
      <c r="N109" s="48">
        <v>0</v>
      </c>
      <c r="O109" s="48"/>
    </row>
    <row r="110" spans="2:16" ht="15.75" thickBot="1" x14ac:dyDescent="0.3">
      <c r="I110" s="67">
        <f t="shared" ref="I110:N110" si="45">SUM(I105:I109)</f>
        <v>0</v>
      </c>
      <c r="J110" s="67">
        <f t="shared" si="45"/>
        <v>0</v>
      </c>
      <c r="K110" s="67">
        <f t="shared" si="45"/>
        <v>0</v>
      </c>
      <c r="L110" s="67">
        <f t="shared" si="45"/>
        <v>0</v>
      </c>
      <c r="M110" s="67">
        <f t="shared" si="45"/>
        <v>0</v>
      </c>
      <c r="N110" s="67">
        <f t="shared" si="45"/>
        <v>0</v>
      </c>
      <c r="O110" s="98"/>
    </row>
    <row r="111" spans="2:16" ht="15.75" thickTop="1" x14ac:dyDescent="0.25">
      <c r="B111" s="66" t="s">
        <v>255</v>
      </c>
      <c r="J111" s="47"/>
      <c r="K111" s="47"/>
      <c r="L111" s="47"/>
      <c r="M111" s="47"/>
      <c r="N111" s="47"/>
      <c r="O111" s="47"/>
    </row>
    <row r="112" spans="2:16" x14ac:dyDescent="0.25">
      <c r="B112" t="s">
        <v>241</v>
      </c>
      <c r="C112" s="55" t="s">
        <v>249</v>
      </c>
      <c r="D112" s="55"/>
      <c r="I112" s="48">
        <v>0</v>
      </c>
      <c r="J112" s="48">
        <v>0</v>
      </c>
      <c r="K112" s="48">
        <v>0</v>
      </c>
      <c r="L112" s="48">
        <v>0</v>
      </c>
      <c r="M112" s="48">
        <v>0</v>
      </c>
      <c r="N112" s="48">
        <v>0</v>
      </c>
      <c r="O112" s="48"/>
    </row>
    <row r="113" spans="1:15" x14ac:dyDescent="0.25">
      <c r="B113" t="s">
        <v>294</v>
      </c>
      <c r="C113" s="55" t="s">
        <v>250</v>
      </c>
      <c r="D113" s="55"/>
      <c r="I113" s="48">
        <v>0</v>
      </c>
      <c r="J113" s="48">
        <v>0</v>
      </c>
      <c r="K113" s="48">
        <v>0</v>
      </c>
      <c r="L113" s="48">
        <v>0</v>
      </c>
      <c r="M113" s="48">
        <v>0</v>
      </c>
      <c r="N113" s="48">
        <v>0</v>
      </c>
      <c r="O113" s="48"/>
    </row>
    <row r="114" spans="1:15" x14ac:dyDescent="0.25">
      <c r="B114" t="s">
        <v>242</v>
      </c>
      <c r="C114" s="55" t="s">
        <v>251</v>
      </c>
      <c r="D114" s="55"/>
      <c r="I114" s="48">
        <v>0</v>
      </c>
      <c r="J114" s="48">
        <v>0</v>
      </c>
      <c r="K114" s="48">
        <v>0</v>
      </c>
      <c r="L114" s="48">
        <v>0</v>
      </c>
      <c r="M114" s="48">
        <v>0</v>
      </c>
      <c r="N114" s="48">
        <v>0</v>
      </c>
      <c r="O114" s="48"/>
    </row>
    <row r="115" spans="1:15" x14ac:dyDescent="0.25">
      <c r="B115" t="s">
        <v>243</v>
      </c>
      <c r="C115" s="55" t="s">
        <v>252</v>
      </c>
      <c r="D115" s="55"/>
      <c r="I115" s="48">
        <v>0</v>
      </c>
      <c r="J115" s="48">
        <v>0</v>
      </c>
      <c r="K115" s="48">
        <v>0</v>
      </c>
      <c r="L115" s="48">
        <v>0</v>
      </c>
      <c r="M115" s="48">
        <v>0</v>
      </c>
      <c r="N115" s="48">
        <v>0</v>
      </c>
      <c r="O115" s="48"/>
    </row>
    <row r="116" spans="1:15" x14ac:dyDescent="0.25">
      <c r="B116" t="s">
        <v>244</v>
      </c>
      <c r="C116" s="55" t="s">
        <v>253</v>
      </c>
      <c r="D116" s="55"/>
      <c r="I116" s="48">
        <v>0</v>
      </c>
      <c r="J116" s="48">
        <v>0</v>
      </c>
      <c r="K116" s="48">
        <v>0</v>
      </c>
      <c r="L116" s="48">
        <v>0</v>
      </c>
      <c r="M116" s="48">
        <v>0</v>
      </c>
      <c r="N116" s="48">
        <v>0</v>
      </c>
      <c r="O116" s="48"/>
    </row>
    <row r="117" spans="1:15" ht="15.75" thickBot="1" x14ac:dyDescent="0.3">
      <c r="I117" s="67">
        <f t="shared" ref="I117:N117" si="46">SUM(I112:I116)</f>
        <v>0</v>
      </c>
      <c r="J117" s="67">
        <f t="shared" si="46"/>
        <v>0</v>
      </c>
      <c r="K117" s="67">
        <f t="shared" si="46"/>
        <v>0</v>
      </c>
      <c r="L117" s="67">
        <f t="shared" si="46"/>
        <v>0</v>
      </c>
      <c r="M117" s="67">
        <f t="shared" si="46"/>
        <v>0</v>
      </c>
      <c r="N117" s="67">
        <f t="shared" si="46"/>
        <v>0</v>
      </c>
      <c r="O117" s="98"/>
    </row>
    <row r="118" spans="1:15" ht="15.75" thickTop="1" x14ac:dyDescent="0.25">
      <c r="J118" s="47"/>
      <c r="K118" s="47"/>
      <c r="L118" s="47"/>
      <c r="M118" s="47"/>
      <c r="N118" s="47"/>
      <c r="O118" s="47"/>
    </row>
    <row r="119" spans="1:15" ht="17.25" x14ac:dyDescent="0.4">
      <c r="A119" s="80" t="s">
        <v>167</v>
      </c>
      <c r="J119" s="47"/>
      <c r="K119" s="47"/>
      <c r="L119" s="47"/>
      <c r="M119" s="47"/>
      <c r="N119" s="47"/>
      <c r="O119" s="47"/>
    </row>
    <row r="120" spans="1:15" x14ac:dyDescent="0.25">
      <c r="A120" t="s">
        <v>265</v>
      </c>
      <c r="B120" s="43" t="s">
        <v>268</v>
      </c>
      <c r="C120" s="57"/>
      <c r="D120" s="57"/>
      <c r="I120" s="78">
        <v>39082</v>
      </c>
      <c r="J120" s="78">
        <v>39447</v>
      </c>
      <c r="K120" s="78">
        <v>39813</v>
      </c>
      <c r="L120" s="78">
        <v>40178</v>
      </c>
      <c r="M120" s="78">
        <v>40543</v>
      </c>
      <c r="N120" s="78">
        <v>40908</v>
      </c>
      <c r="O120" s="78"/>
    </row>
    <row r="121" spans="1:15" x14ac:dyDescent="0.25">
      <c r="B121" s="29" t="s">
        <v>151</v>
      </c>
      <c r="C121" s="55" t="s">
        <v>256</v>
      </c>
      <c r="D121" s="55"/>
      <c r="E121" s="35"/>
      <c r="F121" s="35"/>
      <c r="G121" s="35"/>
      <c r="H121" s="35"/>
      <c r="I121" s="35"/>
      <c r="J121" s="35"/>
      <c r="K121" s="35"/>
      <c r="L121" s="35"/>
      <c r="M121" s="35"/>
      <c r="N121" s="35"/>
      <c r="O121" s="35"/>
    </row>
    <row r="122" spans="1:15" x14ac:dyDescent="0.25">
      <c r="B122" s="29" t="s">
        <v>197</v>
      </c>
      <c r="C122" s="55" t="s">
        <v>256</v>
      </c>
      <c r="D122" s="55"/>
      <c r="E122" s="35"/>
      <c r="F122" s="35"/>
      <c r="G122" s="35"/>
      <c r="H122" s="35"/>
      <c r="I122" s="35"/>
      <c r="J122" s="35"/>
      <c r="K122" s="35"/>
      <c r="L122" s="35"/>
      <c r="M122" s="35"/>
      <c r="N122" s="35"/>
      <c r="O122" s="35"/>
    </row>
    <row r="123" spans="1:15" x14ac:dyDescent="0.25">
      <c r="A123" t="s">
        <v>266</v>
      </c>
      <c r="B123" s="43" t="s">
        <v>268</v>
      </c>
      <c r="I123" s="79">
        <v>39172</v>
      </c>
      <c r="J123" s="79">
        <v>39538</v>
      </c>
      <c r="K123" s="79">
        <v>39903</v>
      </c>
      <c r="L123" s="79">
        <v>40268</v>
      </c>
      <c r="M123" s="79">
        <v>40633</v>
      </c>
      <c r="N123" s="79">
        <v>40999</v>
      </c>
      <c r="O123" s="79"/>
    </row>
    <row r="124" spans="1:15" x14ac:dyDescent="0.25">
      <c r="B124" s="29" t="s">
        <v>151</v>
      </c>
      <c r="C124" s="55" t="s">
        <v>256</v>
      </c>
      <c r="D124" s="55"/>
      <c r="E124" s="35"/>
      <c r="F124" s="35"/>
      <c r="G124" s="35"/>
      <c r="H124" s="35"/>
      <c r="I124" s="35"/>
      <c r="J124" s="35"/>
      <c r="K124" s="35"/>
      <c r="L124" s="35"/>
      <c r="M124" s="35"/>
      <c r="N124" s="35"/>
      <c r="O124" s="35"/>
    </row>
    <row r="125" spans="1:15" x14ac:dyDescent="0.25">
      <c r="B125" s="29" t="s">
        <v>197</v>
      </c>
      <c r="C125" s="55" t="s">
        <v>256</v>
      </c>
      <c r="D125" s="55"/>
      <c r="E125" s="35"/>
      <c r="F125" s="35"/>
      <c r="G125" s="35"/>
      <c r="H125" s="35"/>
      <c r="I125" s="35"/>
      <c r="J125" s="35"/>
      <c r="K125" s="35"/>
      <c r="L125" s="35"/>
      <c r="M125" s="35"/>
      <c r="N125" s="35"/>
      <c r="O125" s="35"/>
    </row>
    <row r="126" spans="1:15" x14ac:dyDescent="0.25">
      <c r="A126" t="s">
        <v>267</v>
      </c>
    </row>
    <row r="127" spans="1:15" x14ac:dyDescent="0.25">
      <c r="B127" s="29" t="s">
        <v>151</v>
      </c>
      <c r="C127" s="77"/>
      <c r="D127" s="77"/>
      <c r="E127" s="48"/>
      <c r="F127" s="48"/>
      <c r="G127" s="48"/>
      <c r="H127" s="48"/>
      <c r="I127" s="48">
        <f t="shared" ref="I127" si="47">+I121+I124</f>
        <v>0</v>
      </c>
      <c r="J127" s="48">
        <f t="shared" ref="J127:N128" si="48">+J121+J124</f>
        <v>0</v>
      </c>
      <c r="K127" s="48">
        <f t="shared" si="48"/>
        <v>0</v>
      </c>
      <c r="L127" s="48">
        <f t="shared" si="48"/>
        <v>0</v>
      </c>
      <c r="M127" s="48">
        <f t="shared" si="48"/>
        <v>0</v>
      </c>
      <c r="N127" s="48">
        <f t="shared" si="48"/>
        <v>0</v>
      </c>
      <c r="O127" s="48"/>
    </row>
    <row r="128" spans="1:15" x14ac:dyDescent="0.25">
      <c r="B128" s="29" t="s">
        <v>197</v>
      </c>
      <c r="C128" s="77"/>
      <c r="D128" s="77"/>
      <c r="E128" s="48"/>
      <c r="F128" s="48"/>
      <c r="G128" s="48"/>
      <c r="H128" s="48"/>
      <c r="I128" s="48">
        <f t="shared" ref="I128" si="49">+I122+I125</f>
        <v>0</v>
      </c>
      <c r="J128" s="48">
        <f t="shared" si="48"/>
        <v>0</v>
      </c>
      <c r="K128" s="48">
        <f t="shared" si="48"/>
        <v>0</v>
      </c>
      <c r="L128" s="48">
        <f t="shared" si="48"/>
        <v>0</v>
      </c>
      <c r="M128" s="48">
        <f t="shared" si="48"/>
        <v>0</v>
      </c>
      <c r="N128" s="48">
        <f t="shared" si="48"/>
        <v>0</v>
      </c>
      <c r="O128" s="48"/>
    </row>
    <row r="129" spans="1:15" x14ac:dyDescent="0.25">
      <c r="B129" s="29"/>
      <c r="C129" s="77"/>
      <c r="D129" s="77"/>
      <c r="E129" s="48"/>
      <c r="F129" s="48"/>
      <c r="G129" s="48"/>
      <c r="H129" s="48"/>
      <c r="I129" s="48"/>
      <c r="J129" s="48"/>
      <c r="K129" s="48"/>
      <c r="L129" s="48"/>
      <c r="M129" s="48"/>
      <c r="N129" s="48"/>
      <c r="O129" s="48"/>
    </row>
    <row r="130" spans="1:15" ht="17.25" x14ac:dyDescent="0.4">
      <c r="A130" s="80" t="s">
        <v>168</v>
      </c>
      <c r="B130" s="29"/>
      <c r="C130" s="77"/>
      <c r="D130" s="77"/>
      <c r="E130" s="48"/>
      <c r="F130" s="48"/>
      <c r="G130" s="48"/>
      <c r="H130" s="48"/>
      <c r="I130" s="48"/>
      <c r="J130" s="48"/>
      <c r="K130" s="48"/>
      <c r="L130" s="48"/>
      <c r="M130" s="48"/>
      <c r="N130" s="48"/>
      <c r="O130" s="48"/>
    </row>
    <row r="131" spans="1:15" x14ac:dyDescent="0.25">
      <c r="A131" t="s">
        <v>269</v>
      </c>
      <c r="B131" s="29"/>
      <c r="C131" s="77"/>
      <c r="D131" s="77"/>
      <c r="E131" s="48"/>
      <c r="F131" s="48"/>
      <c r="G131" s="48"/>
      <c r="H131" s="48"/>
      <c r="I131" s="48"/>
      <c r="J131" s="48"/>
      <c r="K131" s="48"/>
      <c r="L131" s="48"/>
      <c r="M131" s="48"/>
      <c r="N131" s="48"/>
      <c r="O131" s="48"/>
    </row>
    <row r="132" spans="1:15" x14ac:dyDescent="0.25">
      <c r="B132" s="43" t="s">
        <v>268</v>
      </c>
      <c r="J132" s="79">
        <v>38807</v>
      </c>
      <c r="K132" t="s">
        <v>270</v>
      </c>
    </row>
    <row r="133" spans="1:15" x14ac:dyDescent="0.25">
      <c r="B133" s="29" t="s">
        <v>151</v>
      </c>
      <c r="C133" s="55" t="s">
        <v>256</v>
      </c>
      <c r="D133" s="55"/>
      <c r="E133" s="35"/>
      <c r="F133" s="35"/>
      <c r="G133" s="35"/>
      <c r="H133" s="35"/>
      <c r="I133" s="35"/>
      <c r="J133" s="35"/>
      <c r="K133" s="35"/>
      <c r="L133" s="35"/>
      <c r="M133" s="35"/>
      <c r="N133" s="35"/>
      <c r="O133" s="35"/>
    </row>
    <row r="134" spans="1:15" x14ac:dyDescent="0.25">
      <c r="B134" s="29" t="s">
        <v>197</v>
      </c>
      <c r="C134" s="55" t="s">
        <v>256</v>
      </c>
      <c r="D134" s="55"/>
      <c r="E134" s="35"/>
      <c r="F134" s="35"/>
      <c r="G134" s="35"/>
      <c r="H134" s="35"/>
      <c r="I134" s="35"/>
      <c r="J134" s="35"/>
      <c r="K134" s="35"/>
      <c r="L134" s="35"/>
      <c r="M134" s="35"/>
      <c r="N134" s="35"/>
      <c r="O134" s="35"/>
    </row>
    <row r="135" spans="1:15" x14ac:dyDescent="0.25">
      <c r="A135" t="s">
        <v>266</v>
      </c>
      <c r="B135" s="43" t="s">
        <v>268</v>
      </c>
    </row>
    <row r="136" spans="1:15" x14ac:dyDescent="0.25">
      <c r="B136" s="29" t="s">
        <v>151</v>
      </c>
      <c r="C136" s="55" t="s">
        <v>256</v>
      </c>
      <c r="D136" s="55"/>
      <c r="E136" s="35"/>
      <c r="F136" s="35"/>
      <c r="G136" s="35"/>
      <c r="H136" s="35"/>
      <c r="I136" s="35"/>
      <c r="J136" s="35"/>
      <c r="K136" s="35"/>
      <c r="L136" s="35"/>
      <c r="M136" s="35"/>
      <c r="N136" s="35"/>
      <c r="O136" s="35"/>
    </row>
    <row r="137" spans="1:15" x14ac:dyDescent="0.25">
      <c r="B137" s="29" t="s">
        <v>197</v>
      </c>
      <c r="C137" s="55" t="s">
        <v>256</v>
      </c>
      <c r="D137" s="55"/>
      <c r="E137" s="35"/>
      <c r="F137" s="35"/>
      <c r="G137" s="35"/>
      <c r="H137" s="35"/>
      <c r="I137" s="35"/>
      <c r="J137" s="35"/>
      <c r="K137" s="35"/>
      <c r="L137" s="35"/>
      <c r="M137" s="35"/>
      <c r="N137" s="35"/>
      <c r="O137" s="35"/>
    </row>
    <row r="138" spans="1:15" x14ac:dyDescent="0.25">
      <c r="A138" t="s">
        <v>267</v>
      </c>
    </row>
    <row r="139" spans="1:15" x14ac:dyDescent="0.25">
      <c r="B139" s="29" t="s">
        <v>151</v>
      </c>
      <c r="C139" s="77"/>
      <c r="D139" s="77"/>
      <c r="E139" s="48"/>
      <c r="F139" s="48"/>
      <c r="G139" s="48"/>
      <c r="H139" s="48"/>
      <c r="I139" s="48">
        <f t="shared" ref="I139" si="50">+I133+I136</f>
        <v>0</v>
      </c>
      <c r="J139" s="48">
        <f t="shared" ref="J139:N140" si="51">+J133+J136</f>
        <v>0</v>
      </c>
      <c r="K139" s="48">
        <f t="shared" si="51"/>
        <v>0</v>
      </c>
      <c r="L139" s="48">
        <f t="shared" si="51"/>
        <v>0</v>
      </c>
      <c r="M139" s="48">
        <f t="shared" si="51"/>
        <v>0</v>
      </c>
      <c r="N139" s="48">
        <f t="shared" si="51"/>
        <v>0</v>
      </c>
      <c r="O139" s="48"/>
    </row>
    <row r="140" spans="1:15" x14ac:dyDescent="0.25">
      <c r="B140" s="29" t="s">
        <v>197</v>
      </c>
      <c r="C140" s="77"/>
      <c r="D140" s="77"/>
      <c r="E140" s="48"/>
      <c r="F140" s="48"/>
      <c r="G140" s="48"/>
      <c r="H140" s="48"/>
      <c r="I140" s="48">
        <f t="shared" ref="I140" si="52">+I134+I137</f>
        <v>0</v>
      </c>
      <c r="J140" s="48">
        <f t="shared" si="51"/>
        <v>0</v>
      </c>
      <c r="K140" s="48">
        <f t="shared" si="51"/>
        <v>0</v>
      </c>
      <c r="L140" s="48">
        <f t="shared" si="51"/>
        <v>0</v>
      </c>
      <c r="M140" s="48">
        <f t="shared" si="51"/>
        <v>0</v>
      </c>
      <c r="N140" s="48">
        <f t="shared" si="51"/>
        <v>0</v>
      </c>
      <c r="O140" s="48"/>
    </row>
  </sheetData>
  <sheetProtection formatCells="0" formatColumns="0" formatRows="0" insertColumns="0" insertRows="0" insertHyperlinks="0" deleteColumns="0" deleteRows="0" sort="0" autoFilter="0" pivotTables="0"/>
  <printOptions horizontalCentered="1"/>
  <pageMargins left="0.2" right="0.2" top="0.5" bottom="0.5" header="0.3" footer="0.3"/>
  <pageSetup paperSize="5" scale="48" orientation="landscape" r:id="rId1"/>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37"/>
  <sheetViews>
    <sheetView tabSelected="1" zoomScale="85" zoomScaleNormal="85" workbookViewId="0">
      <selection activeCell="J16" sqref="J16"/>
    </sheetView>
  </sheetViews>
  <sheetFormatPr defaultColWidth="13.7109375" defaultRowHeight="15" x14ac:dyDescent="0.25"/>
  <cols>
    <col min="6" max="6" width="20.42578125" customWidth="1"/>
    <col min="7" max="8" width="12.7109375" bestFit="1" customWidth="1"/>
    <col min="9" max="9" width="8.7109375" bestFit="1" customWidth="1"/>
    <col min="10" max="10" width="20.140625" customWidth="1"/>
  </cols>
  <sheetData>
    <row r="1" spans="1:11" ht="17.25" x14ac:dyDescent="0.4">
      <c r="A1" s="44" t="str">
        <f>+'Data Input'!A1</f>
        <v>CITIZENS' GUIDE TO LOCAL UNIT FINANCES - City of Northville</v>
      </c>
      <c r="E1" s="42"/>
      <c r="J1" s="43" t="s">
        <v>145</v>
      </c>
    </row>
    <row r="2" spans="1:11" x14ac:dyDescent="0.25">
      <c r="A2" t="s">
        <v>175</v>
      </c>
      <c r="F2" t="s">
        <v>176</v>
      </c>
    </row>
    <row r="3" spans="1:11" ht="34.5" x14ac:dyDescent="0.4">
      <c r="G3" s="1">
        <f>+'Data Input'!N2</f>
        <v>2016</v>
      </c>
      <c r="H3" s="1">
        <f>+'Data Input'!O2</f>
        <v>2017</v>
      </c>
      <c r="I3" s="1" t="s">
        <v>144</v>
      </c>
      <c r="J3" s="1"/>
    </row>
    <row r="4" spans="1:11" x14ac:dyDescent="0.25">
      <c r="F4" s="27" t="s">
        <v>765</v>
      </c>
      <c r="G4" s="16">
        <f>+'Data Input'!N7</f>
        <v>5316091</v>
      </c>
      <c r="H4" s="16">
        <f>+'Data Input'!O7</f>
        <v>5433778</v>
      </c>
      <c r="I4" s="92">
        <f>IF(G4=0,"n/a",(H4-G4)/G4)</f>
        <v>2.2137882891771415E-2</v>
      </c>
      <c r="K4" s="99"/>
    </row>
    <row r="5" spans="1:11" x14ac:dyDescent="0.25">
      <c r="F5" s="27" t="s">
        <v>764</v>
      </c>
      <c r="G5" s="16">
        <f>+'Data Input'!N8</f>
        <v>433619</v>
      </c>
      <c r="H5" s="16">
        <f>+'Data Input'!O8</f>
        <v>443950</v>
      </c>
      <c r="I5" s="92">
        <f>IF(G5=0,"n/a",(H5-G5)/G5)</f>
        <v>2.3825063016150123E-2</v>
      </c>
    </row>
    <row r="6" spans="1:11" x14ac:dyDescent="0.25">
      <c r="F6" s="27" t="s">
        <v>763</v>
      </c>
      <c r="G6" s="16">
        <f>+'Data Input'!N9</f>
        <v>77</v>
      </c>
      <c r="H6" s="16">
        <f>+'Data Input'!O9</f>
        <v>19104</v>
      </c>
      <c r="I6" s="92">
        <f t="shared" ref="I6:I12" si="0">IF(G6=0,"n/a",(H6-G6)/G6)</f>
        <v>247.10389610389609</v>
      </c>
    </row>
    <row r="7" spans="1:11" x14ac:dyDescent="0.25">
      <c r="F7" s="27" t="s">
        <v>771</v>
      </c>
      <c r="G7" s="16">
        <f>+'Data Input'!N10</f>
        <v>1018830</v>
      </c>
      <c r="H7" s="16">
        <f>+'Data Input'!O10</f>
        <v>1019961</v>
      </c>
      <c r="I7" s="92">
        <f>IF(G7=0,"n/a",(H7-G7)/G7)</f>
        <v>1.1100968758281557E-3</v>
      </c>
    </row>
    <row r="8" spans="1:11" x14ac:dyDescent="0.25">
      <c r="F8" s="27" t="s">
        <v>5</v>
      </c>
      <c r="G8" s="16">
        <f>+'Data Input'!N11</f>
        <v>857288</v>
      </c>
      <c r="H8" s="16">
        <f>+'Data Input'!O11</f>
        <v>1019958</v>
      </c>
      <c r="I8" s="92">
        <f t="shared" si="0"/>
        <v>0.18974953574528047</v>
      </c>
    </row>
    <row r="9" spans="1:11" x14ac:dyDescent="0.25">
      <c r="F9" s="27" t="s">
        <v>766</v>
      </c>
      <c r="G9" s="16">
        <f>+'Data Input'!N12</f>
        <v>70804</v>
      </c>
      <c r="H9" s="16">
        <f>+'Data Input'!O12</f>
        <v>53921</v>
      </c>
      <c r="I9" s="92">
        <f t="shared" si="0"/>
        <v>-0.23844698039658777</v>
      </c>
    </row>
    <row r="10" spans="1:11" x14ac:dyDescent="0.25">
      <c r="F10" s="27" t="s">
        <v>768</v>
      </c>
      <c r="G10" s="16">
        <f>+'Data Input'!N13</f>
        <v>1171302</v>
      </c>
      <c r="H10" s="16">
        <f>+'Data Input'!O13</f>
        <v>983878</v>
      </c>
      <c r="I10" s="92">
        <f t="shared" si="0"/>
        <v>-0.16001338681228239</v>
      </c>
    </row>
    <row r="11" spans="1:11" x14ac:dyDescent="0.25">
      <c r="F11" s="27" t="s">
        <v>223</v>
      </c>
      <c r="G11" s="16">
        <f>+'Data Input'!N14</f>
        <v>1027410</v>
      </c>
      <c r="H11" s="16">
        <f>+'Data Input'!O14</f>
        <v>687885</v>
      </c>
      <c r="I11" s="92">
        <f t="shared" si="0"/>
        <v>-0.33046690221041258</v>
      </c>
    </row>
    <row r="12" spans="1:11" ht="17.25" x14ac:dyDescent="0.4">
      <c r="F12" s="27" t="s">
        <v>224</v>
      </c>
      <c r="G12" s="104">
        <f>+'Data Input'!N15</f>
        <v>0</v>
      </c>
      <c r="H12" s="104">
        <f>+'Data Input'!O15</f>
        <v>0</v>
      </c>
      <c r="I12" s="24" t="str">
        <f t="shared" si="0"/>
        <v>n/a</v>
      </c>
    </row>
    <row r="13" spans="1:11" ht="17.25" x14ac:dyDescent="0.4">
      <c r="F13" s="3" t="s">
        <v>780</v>
      </c>
      <c r="G13" s="14">
        <f>SUM(G4:G12)</f>
        <v>9895421</v>
      </c>
      <c r="H13" s="14">
        <f>SUM(H4:H12)</f>
        <v>9662435</v>
      </c>
      <c r="I13" s="24">
        <f>IF(G13=0,"n/a",(H13-G13)/G13)</f>
        <v>-2.3544829472136659E-2</v>
      </c>
    </row>
    <row r="14" spans="1:11" x14ac:dyDescent="0.25">
      <c r="J14" s="95"/>
    </row>
    <row r="17" spans="1:6" x14ac:dyDescent="0.25">
      <c r="A17" t="s">
        <v>177</v>
      </c>
      <c r="F17" t="s">
        <v>178</v>
      </c>
    </row>
    <row r="34" spans="1:1" ht="21.6" customHeight="1" x14ac:dyDescent="0.25"/>
    <row r="35" spans="1:1" ht="21.6" customHeight="1" x14ac:dyDescent="0.25"/>
    <row r="36" spans="1:1" ht="21.6" customHeight="1" x14ac:dyDescent="0.25"/>
    <row r="37" spans="1:1" x14ac:dyDescent="0.25">
      <c r="A37" t="str">
        <f>+'Data Input'!A77</f>
        <v xml:space="preserve">For more information on our unit's finances, contact Sandi Wiktorowski, Finance Director at (248) 449-9912 or swiktoro@ci.northville.mi.us. </v>
      </c>
    </row>
  </sheetData>
  <sheetProtection algorithmName="SHA-512" hashValue="UEkbVHi4zlnk9rONaj1gL5IECS0A7iCbSPKlfdaMDMpQcgQKaNSAkK8qnlvnT2f5LUZvrRVcEMum5qmEB18a0g==" saltValue="p3JjnxQzp85AgWruZBsMlg==" spinCount="100000" sheet="1" formatCells="0" formatColumns="0" formatRows="0" insertColumns="0" insertRows="0" deleteColumns="0" deleteRows="0"/>
  <printOptions horizontalCentered="1"/>
  <pageMargins left="0.2" right="0.2" top="0.5" bottom="0.5" header="0.3" footer="0.3"/>
  <pageSetup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9" r:id="rId4" name="Drop Down 55">
              <controlPr defaultSize="0" autoLine="0" autoPict="0">
                <anchor moveWithCells="1">
                  <from>
                    <xdr:col>5</xdr:col>
                    <xdr:colOff>1181100</xdr:colOff>
                    <xdr:row>17</xdr:row>
                    <xdr:rowOff>9525</xdr:rowOff>
                  </from>
                  <to>
                    <xdr:col>7</xdr:col>
                    <xdr:colOff>762000</xdr:colOff>
                    <xdr:row>18</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J44"/>
  <sheetViews>
    <sheetView zoomScale="85" zoomScaleNormal="85" workbookViewId="0">
      <selection activeCell="G7" sqref="G7"/>
    </sheetView>
  </sheetViews>
  <sheetFormatPr defaultColWidth="13.7109375" defaultRowHeight="15" x14ac:dyDescent="0.25"/>
  <cols>
    <col min="1" max="1" width="11" customWidth="1"/>
    <col min="6" max="6" width="27.42578125" customWidth="1"/>
    <col min="7" max="8" width="13.7109375" bestFit="1" customWidth="1"/>
    <col min="9" max="9" width="9.28515625" customWidth="1"/>
    <col min="10" max="10" width="20" customWidth="1"/>
  </cols>
  <sheetData>
    <row r="1" spans="1:10" x14ac:dyDescent="0.25">
      <c r="A1" s="44" t="str">
        <f>+'Data Input'!A1</f>
        <v>CITIZENS' GUIDE TO LOCAL UNIT FINANCES - City of Northville</v>
      </c>
      <c r="J1" s="43" t="s">
        <v>68</v>
      </c>
    </row>
    <row r="2" spans="1:10" x14ac:dyDescent="0.25">
      <c r="A2" t="s">
        <v>179</v>
      </c>
      <c r="F2" t="s">
        <v>176</v>
      </c>
    </row>
    <row r="3" spans="1:10" ht="17.25" x14ac:dyDescent="0.4">
      <c r="G3" s="1">
        <f>+'Data Input'!N2</f>
        <v>2016</v>
      </c>
      <c r="H3" s="1">
        <f>+'Data Input'!O2</f>
        <v>2017</v>
      </c>
      <c r="I3" s="1" t="s">
        <v>144</v>
      </c>
      <c r="J3" s="1"/>
    </row>
    <row r="4" spans="1:10" x14ac:dyDescent="0.25">
      <c r="F4" t="s">
        <v>772</v>
      </c>
      <c r="G4" s="17">
        <f>+'Data Input'!N18+'Data Input'!N28</f>
        <v>2041125</v>
      </c>
      <c r="H4" s="17">
        <f>+'Data Input'!O18+'Data Input'!O28</f>
        <v>2097602</v>
      </c>
      <c r="I4" s="24">
        <f t="shared" ref="I4:I13" si="0">IF(G4=0,"n/a",(H4-G4)/G4)</f>
        <v>2.7669544981321573E-2</v>
      </c>
    </row>
    <row r="5" spans="1:10" x14ac:dyDescent="0.25">
      <c r="F5" t="s">
        <v>773</v>
      </c>
      <c r="G5">
        <f>+'Data Input'!N19</f>
        <v>4569268</v>
      </c>
      <c r="H5">
        <f>+'Data Input'!O19</f>
        <v>3752805</v>
      </c>
      <c r="I5" s="105">
        <f t="shared" si="0"/>
        <v>-0.1786857325943674</v>
      </c>
      <c r="J5" s="99"/>
    </row>
    <row r="6" spans="1:10" hidden="1" x14ac:dyDescent="0.25">
      <c r="F6" t="s">
        <v>12</v>
      </c>
      <c r="G6">
        <f>+'Data Input'!M20</f>
        <v>0</v>
      </c>
      <c r="H6">
        <f>+'Data Input'!N20</f>
        <v>0</v>
      </c>
      <c r="I6" s="24" t="str">
        <f t="shared" si="0"/>
        <v>n/a</v>
      </c>
    </row>
    <row r="7" spans="1:10" x14ac:dyDescent="0.25">
      <c r="F7" t="s">
        <v>15</v>
      </c>
      <c r="G7">
        <f>+'Data Input'!N21</f>
        <v>1279434</v>
      </c>
      <c r="H7">
        <f>+'Data Input'!O21</f>
        <v>2360984</v>
      </c>
      <c r="I7" s="24">
        <f t="shared" si="0"/>
        <v>0.84533473395266967</v>
      </c>
    </row>
    <row r="8" spans="1:10" hidden="1" x14ac:dyDescent="0.25">
      <c r="F8" t="s">
        <v>777</v>
      </c>
      <c r="G8">
        <f>+'Data Input'!M22</f>
        <v>0</v>
      </c>
      <c r="H8">
        <f>+'Data Input'!N22</f>
        <v>0</v>
      </c>
      <c r="I8" s="24" t="str">
        <f t="shared" si="0"/>
        <v>n/a</v>
      </c>
    </row>
    <row r="9" spans="1:10" x14ac:dyDescent="0.25">
      <c r="F9" t="s">
        <v>774</v>
      </c>
      <c r="G9">
        <f>+'Data Input'!N23</f>
        <v>724406</v>
      </c>
      <c r="H9">
        <f>+'Data Input'!O23</f>
        <v>1004859</v>
      </c>
      <c r="I9" s="24">
        <f t="shared" si="0"/>
        <v>0.38714891925246342</v>
      </c>
    </row>
    <row r="10" spans="1:10" hidden="1" x14ac:dyDescent="0.25">
      <c r="F10" t="s">
        <v>17</v>
      </c>
      <c r="G10">
        <f>+'Data Input'!M24</f>
        <v>0</v>
      </c>
      <c r="H10">
        <f>+'Data Input'!N24</f>
        <v>0</v>
      </c>
      <c r="I10" s="24" t="str">
        <f t="shared" si="0"/>
        <v>n/a</v>
      </c>
    </row>
    <row r="11" spans="1:10" x14ac:dyDescent="0.25">
      <c r="F11" t="s">
        <v>30</v>
      </c>
      <c r="G11">
        <f>+'Data Input'!N25</f>
        <v>348351</v>
      </c>
      <c r="H11">
        <f>+'Data Input'!O25</f>
        <v>353379</v>
      </c>
      <c r="I11" s="24">
        <f t="shared" si="0"/>
        <v>1.4433717715752215E-2</v>
      </c>
    </row>
    <row r="12" spans="1:10" hidden="1" x14ac:dyDescent="0.25">
      <c r="F12" t="s">
        <v>776</v>
      </c>
      <c r="G12">
        <f>+'Data Input'!M26</f>
        <v>0</v>
      </c>
      <c r="H12">
        <f>+'Data Input'!N26</f>
        <v>0</v>
      </c>
      <c r="I12" s="24" t="str">
        <f t="shared" si="0"/>
        <v>n/a</v>
      </c>
    </row>
    <row r="13" spans="1:10" x14ac:dyDescent="0.25">
      <c r="F13" t="s">
        <v>775</v>
      </c>
      <c r="G13">
        <f>+'Data Input'!N27</f>
        <v>275781</v>
      </c>
      <c r="H13">
        <f>+'Data Input'!O27</f>
        <v>315760</v>
      </c>
      <c r="I13" s="24">
        <f t="shared" si="0"/>
        <v>0.14496647702343526</v>
      </c>
    </row>
    <row r="14" spans="1:10" hidden="1" x14ac:dyDescent="0.25">
      <c r="F14" t="s">
        <v>23</v>
      </c>
      <c r="I14" s="24" t="str">
        <f>IF(G14=0,"n/a",(H14-G14)/G14)</f>
        <v>n/a</v>
      </c>
    </row>
    <row r="15" spans="1:10" hidden="1" x14ac:dyDescent="0.25">
      <c r="F15" t="s">
        <v>27</v>
      </c>
      <c r="G15">
        <f>+'Data Input'!M29</f>
        <v>0</v>
      </c>
      <c r="H15">
        <f>+'Data Input'!N29</f>
        <v>0</v>
      </c>
      <c r="I15" s="24" t="str">
        <f>IF(G15=0,"n/a",(H15-G15)/G15)</f>
        <v>n/a</v>
      </c>
    </row>
    <row r="16" spans="1:10" ht="15.75" thickBot="1" x14ac:dyDescent="0.3">
      <c r="F16" s="3" t="s">
        <v>779</v>
      </c>
      <c r="G16" s="18">
        <f>SUM(G4:G15)</f>
        <v>9238365</v>
      </c>
      <c r="H16" s="18">
        <f>SUM(H4:H15)</f>
        <v>9885389</v>
      </c>
      <c r="I16" s="107">
        <f>(H16-G16)/G16</f>
        <v>7.0036635270418521E-2</v>
      </c>
    </row>
    <row r="17" spans="1:9" ht="15.75" thickTop="1" x14ac:dyDescent="0.25">
      <c r="F17" s="3"/>
      <c r="G17" s="94"/>
      <c r="H17" s="94"/>
      <c r="I17" s="8"/>
    </row>
    <row r="18" spans="1:9" x14ac:dyDescent="0.25">
      <c r="F18" s="3"/>
      <c r="G18" s="94"/>
      <c r="H18" s="94"/>
      <c r="I18" s="8"/>
    </row>
    <row r="19" spans="1:9" x14ac:dyDescent="0.25">
      <c r="F19" s="3"/>
      <c r="G19" s="94"/>
      <c r="H19" s="94"/>
      <c r="I19" s="8"/>
    </row>
    <row r="20" spans="1:9" ht="12" customHeight="1" x14ac:dyDescent="0.25">
      <c r="A20" t="s">
        <v>180</v>
      </c>
      <c r="G20" s="96" t="s">
        <v>181</v>
      </c>
    </row>
    <row r="41" spans="1:1" ht="21" customHeight="1" x14ac:dyDescent="0.25"/>
    <row r="42" spans="1:1" ht="21" customHeight="1" x14ac:dyDescent="0.25"/>
    <row r="43" spans="1:1" ht="21" customHeight="1" x14ac:dyDescent="0.25"/>
    <row r="44" spans="1:1" x14ac:dyDescent="0.25">
      <c r="A44" t="str">
        <f>+'Data Input'!A77</f>
        <v xml:space="preserve">For more information on our unit's finances, contact Sandi Wiktorowski, Finance Director at (248) 449-9912 or swiktoro@ci.northville.mi.us. </v>
      </c>
    </row>
  </sheetData>
  <sheetProtection algorithmName="SHA-512" hashValue="BXib64q+lz2BLEobAn/qTYIJ4c97XsvDoA6XHMBMbijxYOJBZPcV89kJcub78b/RzGOPHSr8F+nDG2ZJCrbk2g==" saltValue="uDdZXj9WVdpppI75YX/0yg==" spinCount="100000" sheet="1" formatCells="0" formatColumns="0" formatRows="0" insertColumns="0" insertRows="0" deleteColumns="0" deleteRows="0"/>
  <printOptions horizontalCentered="1"/>
  <pageMargins left="0.2" right="0.2" top="0.5" bottom="0.5" header="0.3" footer="0.3"/>
  <pageSetup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323" r:id="rId4" name="Drop Down 275">
              <controlPr defaultSize="0" autoLine="0" autoPict="0">
                <anchor moveWithCells="1">
                  <from>
                    <xdr:col>6</xdr:col>
                    <xdr:colOff>104775</xdr:colOff>
                    <xdr:row>20</xdr:row>
                    <xdr:rowOff>123825</xdr:rowOff>
                  </from>
                  <to>
                    <xdr:col>9</xdr:col>
                    <xdr:colOff>485775</xdr:colOff>
                    <xdr:row>22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40"/>
  <sheetViews>
    <sheetView zoomScale="85" zoomScaleNormal="85" workbookViewId="0">
      <selection activeCell="G4" sqref="G4"/>
    </sheetView>
  </sheetViews>
  <sheetFormatPr defaultColWidth="13.7109375" defaultRowHeight="15" x14ac:dyDescent="0.25"/>
  <cols>
    <col min="6" max="6" width="26.7109375" customWidth="1"/>
    <col min="9" max="9" width="8.7109375" bestFit="1" customWidth="1"/>
  </cols>
  <sheetData>
    <row r="1" spans="1:10" x14ac:dyDescent="0.25">
      <c r="A1" s="44" t="str">
        <f>+'Data Input'!A1</f>
        <v>CITIZENS' GUIDE TO LOCAL UNIT FINANCES - City of Northville</v>
      </c>
      <c r="I1" s="43" t="s">
        <v>189</v>
      </c>
    </row>
    <row r="2" spans="1:10" x14ac:dyDescent="0.25">
      <c r="A2" t="s">
        <v>182</v>
      </c>
      <c r="F2" t="s">
        <v>176</v>
      </c>
    </row>
    <row r="3" spans="1:10" ht="34.5" x14ac:dyDescent="0.4">
      <c r="G3" s="1">
        <f>+'Data Input'!N2</f>
        <v>2016</v>
      </c>
      <c r="H3" s="1">
        <f>+'Data Input'!O2</f>
        <v>2017</v>
      </c>
      <c r="I3" s="1" t="s">
        <v>144</v>
      </c>
    </row>
    <row r="4" spans="1:10" x14ac:dyDescent="0.25">
      <c r="F4" t="s">
        <v>2</v>
      </c>
      <c r="G4">
        <f>+'Data Input'!N16</f>
        <v>9895421</v>
      </c>
      <c r="H4">
        <f>+'Data Input'!O16</f>
        <v>9662435</v>
      </c>
      <c r="I4" s="8">
        <f>(H4-G4)/G4</f>
        <v>-2.3544829472136659E-2</v>
      </c>
    </row>
    <row r="5" spans="1:10" x14ac:dyDescent="0.25">
      <c r="F5" t="s">
        <v>0</v>
      </c>
      <c r="G5">
        <f>+'Data Input'!N30</f>
        <v>9238365</v>
      </c>
      <c r="H5">
        <f>+'Data Input'!O30</f>
        <v>9885389</v>
      </c>
      <c r="I5" s="8">
        <f>(H5-G5)/G5</f>
        <v>7.0036635270418521E-2</v>
      </c>
    </row>
    <row r="6" spans="1:10" ht="15.75" thickBot="1" x14ac:dyDescent="0.3">
      <c r="F6" s="3" t="s">
        <v>24</v>
      </c>
      <c r="G6" s="5">
        <f>+'Data Input'!N31</f>
        <v>657056</v>
      </c>
      <c r="H6" s="5">
        <f>+'Data Input'!O31</f>
        <v>-222954</v>
      </c>
      <c r="I6" s="9">
        <f>(H6-G6)/G6</f>
        <v>-1.3393226756927872</v>
      </c>
    </row>
    <row r="7" spans="1:10" ht="15.75" thickTop="1" x14ac:dyDescent="0.25">
      <c r="F7" t="s">
        <v>148</v>
      </c>
      <c r="I7" s="8"/>
    </row>
    <row r="8" spans="1:10" x14ac:dyDescent="0.25">
      <c r="F8" s="2" t="str">
        <f>'Data Input'!B38</f>
        <v>Nonspendable</v>
      </c>
      <c r="G8">
        <f>'Data Input'!N38</f>
        <v>478635</v>
      </c>
      <c r="H8">
        <f>'Data Input'!O38</f>
        <v>411494</v>
      </c>
      <c r="I8" s="8">
        <f t="shared" ref="I8:I13" si="0">(H8-G8)/G8</f>
        <v>-0.14027599318896444</v>
      </c>
    </row>
    <row r="9" spans="1:10" x14ac:dyDescent="0.25">
      <c r="F9" s="2" t="str">
        <f>'Data Input'!B37</f>
        <v>Restricted/Reserved</v>
      </c>
      <c r="G9">
        <f>'Data Input'!N37</f>
        <v>1881031</v>
      </c>
      <c r="H9">
        <f>'Data Input'!O37</f>
        <v>1480418</v>
      </c>
      <c r="I9" s="8">
        <f t="shared" si="0"/>
        <v>-0.21297522475706143</v>
      </c>
    </row>
    <row r="10" spans="1:10" x14ac:dyDescent="0.25">
      <c r="F10" s="2" t="str">
        <f>'Data Input'!B36</f>
        <v>Committed</v>
      </c>
      <c r="G10">
        <f>'Data Input'!N36</f>
        <v>6861303</v>
      </c>
      <c r="H10">
        <f>'Data Input'!O36</f>
        <v>6669603</v>
      </c>
      <c r="I10" s="95">
        <f t="shared" si="0"/>
        <v>-2.7939299576188372E-2</v>
      </c>
      <c r="J10" s="99"/>
    </row>
    <row r="11" spans="1:10" x14ac:dyDescent="0.25">
      <c r="F11" s="2" t="str">
        <f>'Data Input'!B35</f>
        <v>Assigned/Designated</v>
      </c>
      <c r="G11">
        <f>+'Data Input'!N35</f>
        <v>623</v>
      </c>
      <c r="H11">
        <f>+'Data Input'!O35</f>
        <v>64</v>
      </c>
      <c r="I11" s="8">
        <f t="shared" si="0"/>
        <v>-0.8972712680577849</v>
      </c>
    </row>
    <row r="12" spans="1:10" x14ac:dyDescent="0.25">
      <c r="F12" s="2" t="str">
        <f>'Data Input'!B34</f>
        <v>Unassigned/Undesignated</v>
      </c>
      <c r="G12">
        <f>+'Data Input'!N34</f>
        <v>2377458</v>
      </c>
      <c r="H12">
        <f>+'Data Input'!O34</f>
        <v>2652748</v>
      </c>
      <c r="I12" s="8">
        <f t="shared" si="0"/>
        <v>0.11579174059015974</v>
      </c>
    </row>
    <row r="13" spans="1:10" ht="15.75" thickBot="1" x14ac:dyDescent="0.3">
      <c r="F13" s="3" t="s">
        <v>149</v>
      </c>
      <c r="G13" s="5">
        <f>SUM(G8:G12)</f>
        <v>11599050</v>
      </c>
      <c r="H13" s="5">
        <f>SUM(H8:H12)</f>
        <v>11214327</v>
      </c>
      <c r="I13" s="9">
        <f t="shared" si="0"/>
        <v>-3.3168492247209899E-2</v>
      </c>
    </row>
    <row r="14" spans="1:10" ht="15.75" thickTop="1" x14ac:dyDescent="0.25"/>
    <row r="20" spans="1:6" x14ac:dyDescent="0.25">
      <c r="A20" t="s">
        <v>183</v>
      </c>
      <c r="F20" t="s">
        <v>184</v>
      </c>
    </row>
    <row r="37" spans="1:1" ht="19.899999999999999" customHeight="1" x14ac:dyDescent="0.25"/>
    <row r="38" spans="1:1" ht="19.899999999999999" customHeight="1" x14ac:dyDescent="0.25"/>
    <row r="39" spans="1:1" ht="19.899999999999999" customHeight="1" x14ac:dyDescent="0.25"/>
    <row r="40" spans="1:1" x14ac:dyDescent="0.25">
      <c r="A40" t="str">
        <f>+'Data Input'!A77</f>
        <v xml:space="preserve">For more information on our unit's finances, contact Sandi Wiktorowski, Finance Director at (248) 449-9912 or swiktoro@ci.northville.mi.us. </v>
      </c>
    </row>
  </sheetData>
  <sheetProtection algorithmName="SHA-512" hashValue="IvTFdpeLmNLBRrvNtnLP+ojnTu14kBeK51NkZml5Xvwia/eVeUEbLdgANXf9trdNSwjPOzx+EWJxPgBsuzw8ew==" saltValue="ZFArbMx/v5vaZ93zEBmQUw==" spinCount="100000" sheet="1" formatCells="0" formatColumns="0" formatRows="0" insertColumns="0" insertRows="0" deleteColumns="0" deleteRows="0"/>
  <printOptions horizontalCentered="1"/>
  <pageMargins left="0.2" right="0.2" top="0.5" bottom="0.5" header="0.3" footer="0.3"/>
  <pageSetup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38"/>
  <sheetViews>
    <sheetView zoomScale="85" zoomScaleNormal="85" workbookViewId="0">
      <selection activeCell="R25" sqref="R25"/>
    </sheetView>
  </sheetViews>
  <sheetFormatPr defaultRowHeight="15" x14ac:dyDescent="0.25"/>
  <cols>
    <col min="16" max="16" width="15" customWidth="1"/>
  </cols>
  <sheetData>
    <row r="1" spans="1:16" x14ac:dyDescent="0.25">
      <c r="A1" s="44" t="str">
        <f>+'Data Input'!A1</f>
        <v>CITIZENS' GUIDE TO LOCAL UNIT FINANCES - City of Northville</v>
      </c>
      <c r="P1" s="43" t="s">
        <v>160</v>
      </c>
    </row>
    <row r="2" spans="1:16" x14ac:dyDescent="0.25">
      <c r="A2" t="s">
        <v>185</v>
      </c>
      <c r="F2" s="3" t="s">
        <v>186</v>
      </c>
      <c r="K2" s="13" t="s">
        <v>762</v>
      </c>
    </row>
    <row r="18" spans="1:19" x14ac:dyDescent="0.25">
      <c r="A18" t="s">
        <v>187</v>
      </c>
      <c r="J18" s="2" t="s">
        <v>188</v>
      </c>
    </row>
    <row r="32" spans="1:19" x14ac:dyDescent="0.25">
      <c r="S32" s="109"/>
    </row>
    <row r="35" spans="1:1" ht="23.45" customHeight="1" x14ac:dyDescent="0.25"/>
    <row r="36" spans="1:1" ht="23.45" customHeight="1" x14ac:dyDescent="0.25"/>
    <row r="37" spans="1:1" ht="23.45" customHeight="1" x14ac:dyDescent="0.25"/>
    <row r="38" spans="1:1" x14ac:dyDescent="0.25">
      <c r="A38" t="str">
        <f>+'Data Input'!A77</f>
        <v xml:space="preserve">For more information on our unit's finances, contact Sandi Wiktorowski, Finance Director at (248) 449-9912 or swiktoro@ci.northville.mi.us. </v>
      </c>
    </row>
  </sheetData>
  <sheetProtection algorithmName="SHA-512" hashValue="ihEXMvIvIlWN9GhvRLY16Gz5bDrRvWPruU+pcrIE9GdY9DGGmsPaAVoxYqJxLOOcDwaF4yhcIZ8y3tjDLn0uDw==" saltValue="1rMUqfwRRrNi6zHBafOX7A==" spinCount="100000" sheet="1" formatCells="0" formatColumns="0" formatRows="0" insertColumns="0" insertRows="0" deleteColumns="0" deleteRows="0"/>
  <printOptions horizontalCentered="1"/>
  <pageMargins left="0.25" right="0.25" top="0.5" bottom="0.5" header="0.3" footer="0.3"/>
  <pageSetup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33"/>
  <sheetViews>
    <sheetView workbookViewId="0">
      <pane xSplit="2" ySplit="1" topLeftCell="C2" activePane="bottomRight" state="frozen"/>
      <selection pane="topRight" activeCell="C1" sqref="C1"/>
      <selection pane="bottomLeft" activeCell="A2" sqref="A2"/>
      <selection pane="bottomRight" activeCell="B10" sqref="B10"/>
    </sheetView>
  </sheetViews>
  <sheetFormatPr defaultRowHeight="15" x14ac:dyDescent="0.25"/>
  <cols>
    <col min="2" max="2" width="48.5703125" customWidth="1"/>
    <col min="3" max="3" width="33.28515625" bestFit="1" customWidth="1"/>
    <col min="4" max="8" width="10.28515625" hidden="1" customWidth="1"/>
    <col min="9" max="13" width="10.28515625" customWidth="1"/>
  </cols>
  <sheetData>
    <row r="1" spans="1:13" ht="17.25" x14ac:dyDescent="0.4">
      <c r="A1" s="7" t="s">
        <v>143</v>
      </c>
      <c r="B1" s="7" t="s">
        <v>142</v>
      </c>
      <c r="C1" s="7" t="s">
        <v>170</v>
      </c>
      <c r="D1" s="7">
        <f>+'Data Input'!E2</f>
        <v>2007</v>
      </c>
      <c r="E1" s="7">
        <f>+'Data Input'!F2</f>
        <v>2008</v>
      </c>
      <c r="F1" s="7">
        <f>+'Data Input'!G2</f>
        <v>2009</v>
      </c>
      <c r="G1" s="7">
        <f>+'Data Input'!H2</f>
        <v>2010</v>
      </c>
      <c r="H1" s="7">
        <f>+'Data Input'!I2</f>
        <v>2011</v>
      </c>
      <c r="I1" s="7">
        <f>+'Data Input'!J2</f>
        <v>2012</v>
      </c>
      <c r="J1" s="7">
        <f>+'Data Input'!K2</f>
        <v>2013</v>
      </c>
      <c r="K1" s="7">
        <f>+'Data Input'!L2</f>
        <v>2014</v>
      </c>
      <c r="L1" s="7">
        <f>+'Data Input'!M2</f>
        <v>2015</v>
      </c>
      <c r="M1" s="7">
        <f>+'Data Input'!N2</f>
        <v>2016</v>
      </c>
    </row>
    <row r="2" spans="1:13" x14ac:dyDescent="0.25">
      <c r="B2" s="6" t="s">
        <v>141</v>
      </c>
      <c r="C2" s="6"/>
    </row>
    <row r="3" spans="1:13" x14ac:dyDescent="0.25">
      <c r="B3" t="s">
        <v>140</v>
      </c>
    </row>
    <row r="4" spans="1:13" x14ac:dyDescent="0.25">
      <c r="A4">
        <v>101</v>
      </c>
      <c r="B4" t="s">
        <v>3</v>
      </c>
      <c r="C4" s="27" t="s">
        <v>4</v>
      </c>
    </row>
    <row r="5" spans="1:13" x14ac:dyDescent="0.25">
      <c r="A5">
        <v>102</v>
      </c>
      <c r="B5" t="s">
        <v>139</v>
      </c>
      <c r="C5" s="27" t="s">
        <v>4</v>
      </c>
    </row>
    <row r="6" spans="1:13" x14ac:dyDescent="0.25">
      <c r="A6">
        <v>103</v>
      </c>
      <c r="B6" t="s">
        <v>138</v>
      </c>
      <c r="C6" s="27" t="s">
        <v>4</v>
      </c>
    </row>
    <row r="7" spans="1:13" x14ac:dyDescent="0.25">
      <c r="A7">
        <v>104</v>
      </c>
      <c r="B7" t="s">
        <v>137</v>
      </c>
      <c r="C7" s="27" t="s">
        <v>4</v>
      </c>
    </row>
    <row r="8" spans="1:13" x14ac:dyDescent="0.25">
      <c r="A8">
        <v>105</v>
      </c>
      <c r="B8" t="s">
        <v>136</v>
      </c>
      <c r="C8" s="27" t="s">
        <v>4</v>
      </c>
    </row>
    <row r="9" spans="1:13" x14ac:dyDescent="0.25">
      <c r="A9">
        <v>106</v>
      </c>
      <c r="B9" t="s">
        <v>135</v>
      </c>
      <c r="C9" s="27" t="s">
        <v>4</v>
      </c>
    </row>
    <row r="10" spans="1:13" x14ac:dyDescent="0.25">
      <c r="A10">
        <v>107</v>
      </c>
      <c r="B10" t="s">
        <v>134</v>
      </c>
      <c r="C10" s="27" t="s">
        <v>4</v>
      </c>
    </row>
    <row r="11" spans="1:13" x14ac:dyDescent="0.25">
      <c r="A11">
        <v>108</v>
      </c>
      <c r="B11" t="s">
        <v>133</v>
      </c>
      <c r="C11" s="27" t="s">
        <v>8</v>
      </c>
    </row>
    <row r="12" spans="1:13" x14ac:dyDescent="0.25">
      <c r="A12">
        <v>109</v>
      </c>
      <c r="B12" t="s">
        <v>132</v>
      </c>
      <c r="C12" s="27" t="s">
        <v>8</v>
      </c>
    </row>
    <row r="13" spans="1:13" x14ac:dyDescent="0.25">
      <c r="A13">
        <v>110</v>
      </c>
      <c r="B13" t="s">
        <v>131</v>
      </c>
      <c r="C13" s="27" t="s">
        <v>7</v>
      </c>
    </row>
    <row r="14" spans="1:13" x14ac:dyDescent="0.25">
      <c r="A14">
        <v>111</v>
      </c>
      <c r="B14" t="s">
        <v>130</v>
      </c>
      <c r="C14" s="27" t="s">
        <v>7</v>
      </c>
    </row>
    <row r="15" spans="1:13" x14ac:dyDescent="0.25">
      <c r="A15">
        <v>112</v>
      </c>
      <c r="B15" t="s">
        <v>129</v>
      </c>
      <c r="C15" s="27" t="s">
        <v>7</v>
      </c>
    </row>
    <row r="16" spans="1:13" x14ac:dyDescent="0.25">
      <c r="A16">
        <v>113</v>
      </c>
      <c r="B16" t="s">
        <v>128</v>
      </c>
      <c r="C16" s="27" t="s">
        <v>7</v>
      </c>
    </row>
    <row r="17" spans="1:3" x14ac:dyDescent="0.25">
      <c r="A17">
        <v>114</v>
      </c>
      <c r="B17" t="s">
        <v>127</v>
      </c>
      <c r="C17" s="27" t="s">
        <v>7</v>
      </c>
    </row>
    <row r="18" spans="1:3" x14ac:dyDescent="0.25">
      <c r="A18">
        <v>115</v>
      </c>
      <c r="B18" t="s">
        <v>126</v>
      </c>
      <c r="C18" s="27" t="s">
        <v>7</v>
      </c>
    </row>
    <row r="19" spans="1:3" x14ac:dyDescent="0.25">
      <c r="A19">
        <v>116</v>
      </c>
      <c r="B19" t="s">
        <v>125</v>
      </c>
      <c r="C19" s="27" t="s">
        <v>7</v>
      </c>
    </row>
    <row r="20" spans="1:3" x14ac:dyDescent="0.25">
      <c r="A20">
        <v>117</v>
      </c>
      <c r="B20" t="s">
        <v>124</v>
      </c>
      <c r="C20" s="27" t="s">
        <v>7</v>
      </c>
    </row>
    <row r="21" spans="1:3" x14ac:dyDescent="0.25">
      <c r="A21">
        <v>118</v>
      </c>
      <c r="B21" t="s">
        <v>123</v>
      </c>
      <c r="C21" s="27" t="s">
        <v>7</v>
      </c>
    </row>
    <row r="22" spans="1:3" x14ac:dyDescent="0.25">
      <c r="A22">
        <v>119</v>
      </c>
      <c r="B22" t="s">
        <v>122</v>
      </c>
      <c r="C22" s="27" t="s">
        <v>7</v>
      </c>
    </row>
    <row r="23" spans="1:3" x14ac:dyDescent="0.25">
      <c r="A23">
        <v>120</v>
      </c>
      <c r="B23" t="s">
        <v>121</v>
      </c>
      <c r="C23" s="27" t="s">
        <v>7</v>
      </c>
    </row>
    <row r="24" spans="1:3" x14ac:dyDescent="0.25">
      <c r="A24">
        <v>121</v>
      </c>
      <c r="B24" t="s">
        <v>120</v>
      </c>
      <c r="C24" s="27" t="s">
        <v>7</v>
      </c>
    </row>
    <row r="25" spans="1:3" x14ac:dyDescent="0.25">
      <c r="A25">
        <v>122</v>
      </c>
      <c r="B25" t="s">
        <v>119</v>
      </c>
      <c r="C25" s="27" t="s">
        <v>6</v>
      </c>
    </row>
    <row r="26" spans="1:3" x14ac:dyDescent="0.25">
      <c r="A26">
        <v>123</v>
      </c>
      <c r="B26" t="s">
        <v>118</v>
      </c>
      <c r="C26" s="27" t="s">
        <v>6</v>
      </c>
    </row>
    <row r="27" spans="1:3" x14ac:dyDescent="0.25">
      <c r="A27">
        <v>124</v>
      </c>
      <c r="B27" t="s">
        <v>117</v>
      </c>
      <c r="C27" s="27" t="s">
        <v>6</v>
      </c>
    </row>
    <row r="28" spans="1:3" x14ac:dyDescent="0.25">
      <c r="A28">
        <v>125</v>
      </c>
      <c r="B28" t="s">
        <v>116</v>
      </c>
      <c r="C28" s="27" t="s">
        <v>6</v>
      </c>
    </row>
    <row r="29" spans="1:3" x14ac:dyDescent="0.25">
      <c r="A29">
        <v>126</v>
      </c>
      <c r="B29" t="s">
        <v>115</v>
      </c>
      <c r="C29" s="27" t="s">
        <v>6</v>
      </c>
    </row>
    <row r="30" spans="1:3" x14ac:dyDescent="0.25">
      <c r="A30">
        <v>127</v>
      </c>
      <c r="B30" t="s">
        <v>114</v>
      </c>
      <c r="C30" s="27" t="s">
        <v>6</v>
      </c>
    </row>
    <row r="31" spans="1:3" x14ac:dyDescent="0.25">
      <c r="A31">
        <v>128</v>
      </c>
      <c r="B31" t="s">
        <v>113</v>
      </c>
      <c r="C31" s="27" t="s">
        <v>6</v>
      </c>
    </row>
    <row r="32" spans="1:3" x14ac:dyDescent="0.25">
      <c r="A32">
        <v>129</v>
      </c>
      <c r="B32" t="s">
        <v>112</v>
      </c>
      <c r="C32" s="27" t="s">
        <v>6</v>
      </c>
    </row>
    <row r="33" spans="1:3" x14ac:dyDescent="0.25">
      <c r="A33">
        <v>130</v>
      </c>
      <c r="B33" t="s">
        <v>111</v>
      </c>
      <c r="C33" s="27" t="s">
        <v>6</v>
      </c>
    </row>
    <row r="34" spans="1:3" x14ac:dyDescent="0.25">
      <c r="A34">
        <v>131</v>
      </c>
      <c r="B34" t="s">
        <v>110</v>
      </c>
      <c r="C34" s="27" t="s">
        <v>6</v>
      </c>
    </row>
    <row r="35" spans="1:3" x14ac:dyDescent="0.25">
      <c r="A35">
        <v>132</v>
      </c>
      <c r="B35" t="s">
        <v>109</v>
      </c>
      <c r="C35" s="27" t="s">
        <v>6</v>
      </c>
    </row>
    <row r="36" spans="1:3" x14ac:dyDescent="0.25">
      <c r="A36">
        <v>133</v>
      </c>
      <c r="B36" t="s">
        <v>108</v>
      </c>
      <c r="C36" s="27" t="s">
        <v>6</v>
      </c>
    </row>
    <row r="37" spans="1:3" x14ac:dyDescent="0.25">
      <c r="A37">
        <v>134</v>
      </c>
      <c r="B37" t="s">
        <v>107</v>
      </c>
      <c r="C37" s="27" t="s">
        <v>6</v>
      </c>
    </row>
    <row r="38" spans="1:3" x14ac:dyDescent="0.25">
      <c r="A38">
        <v>135</v>
      </c>
      <c r="B38" t="s">
        <v>106</v>
      </c>
      <c r="C38" s="27" t="s">
        <v>6</v>
      </c>
    </row>
    <row r="39" spans="1:3" x14ac:dyDescent="0.25">
      <c r="A39">
        <v>136</v>
      </c>
      <c r="B39" t="s">
        <v>105</v>
      </c>
      <c r="C39" s="27" t="s">
        <v>6</v>
      </c>
    </row>
    <row r="40" spans="1:3" x14ac:dyDescent="0.25">
      <c r="A40">
        <v>137</v>
      </c>
      <c r="B40" t="s">
        <v>104</v>
      </c>
      <c r="C40" s="27" t="s">
        <v>6</v>
      </c>
    </row>
    <row r="41" spans="1:3" x14ac:dyDescent="0.25">
      <c r="A41">
        <v>138</v>
      </c>
      <c r="B41" t="s">
        <v>103</v>
      </c>
      <c r="C41" s="27" t="s">
        <v>10</v>
      </c>
    </row>
    <row r="42" spans="1:3" x14ac:dyDescent="0.25">
      <c r="A42">
        <v>139</v>
      </c>
      <c r="B42" t="s">
        <v>102</v>
      </c>
      <c r="C42" s="27" t="s">
        <v>10</v>
      </c>
    </row>
    <row r="43" spans="1:3" x14ac:dyDescent="0.25">
      <c r="A43">
        <v>140</v>
      </c>
      <c r="B43" t="s">
        <v>101</v>
      </c>
      <c r="C43" s="27" t="s">
        <v>10</v>
      </c>
    </row>
    <row r="44" spans="1:3" x14ac:dyDescent="0.25">
      <c r="A44">
        <v>141</v>
      </c>
      <c r="B44" t="s">
        <v>100</v>
      </c>
      <c r="C44" s="27" t="s">
        <v>10</v>
      </c>
    </row>
    <row r="45" spans="1:3" x14ac:dyDescent="0.25">
      <c r="A45">
        <v>142</v>
      </c>
      <c r="B45" t="s">
        <v>99</v>
      </c>
      <c r="C45" s="27" t="s">
        <v>10</v>
      </c>
    </row>
    <row r="46" spans="1:3" x14ac:dyDescent="0.25">
      <c r="A46">
        <v>143</v>
      </c>
      <c r="B46" t="s">
        <v>98</v>
      </c>
      <c r="C46" s="27" t="s">
        <v>10</v>
      </c>
    </row>
    <row r="47" spans="1:3" x14ac:dyDescent="0.25">
      <c r="A47">
        <v>144</v>
      </c>
      <c r="B47" t="s">
        <v>97</v>
      </c>
      <c r="C47" s="27" t="s">
        <v>10</v>
      </c>
    </row>
    <row r="48" spans="1:3" x14ac:dyDescent="0.25">
      <c r="A48">
        <v>145</v>
      </c>
      <c r="B48" t="s">
        <v>96</v>
      </c>
      <c r="C48" s="27" t="s">
        <v>10</v>
      </c>
    </row>
    <row r="49" spans="1:3" x14ac:dyDescent="0.25">
      <c r="A49">
        <v>146</v>
      </c>
      <c r="B49" t="s">
        <v>95</v>
      </c>
      <c r="C49" s="27" t="s">
        <v>10</v>
      </c>
    </row>
    <row r="50" spans="1:3" x14ac:dyDescent="0.25">
      <c r="A50">
        <v>147</v>
      </c>
      <c r="B50" t="s">
        <v>94</v>
      </c>
      <c r="C50" s="27" t="s">
        <v>10</v>
      </c>
    </row>
    <row r="51" spans="1:3" x14ac:dyDescent="0.25">
      <c r="A51">
        <v>148</v>
      </c>
      <c r="B51" t="s">
        <v>93</v>
      </c>
      <c r="C51" s="27" t="s">
        <v>10</v>
      </c>
    </row>
    <row r="52" spans="1:3" x14ac:dyDescent="0.25">
      <c r="A52">
        <v>149</v>
      </c>
      <c r="B52" t="s">
        <v>92</v>
      </c>
      <c r="C52" s="27" t="s">
        <v>8</v>
      </c>
    </row>
    <row r="53" spans="1:3" x14ac:dyDescent="0.25">
      <c r="A53">
        <v>150</v>
      </c>
      <c r="B53" t="s">
        <v>91</v>
      </c>
      <c r="C53" s="27" t="s">
        <v>8</v>
      </c>
    </row>
    <row r="54" spans="1:3" x14ac:dyDescent="0.25">
      <c r="A54">
        <v>151</v>
      </c>
      <c r="B54" t="s">
        <v>90</v>
      </c>
      <c r="C54" s="27" t="s">
        <v>5</v>
      </c>
    </row>
    <row r="55" spans="1:3" x14ac:dyDescent="0.25">
      <c r="A55">
        <v>152</v>
      </c>
      <c r="B55" t="s">
        <v>89</v>
      </c>
      <c r="C55" s="27" t="s">
        <v>5</v>
      </c>
    </row>
    <row r="56" spans="1:3" x14ac:dyDescent="0.25">
      <c r="A56">
        <v>153</v>
      </c>
      <c r="B56" t="s">
        <v>88</v>
      </c>
      <c r="C56" s="27" t="s">
        <v>5</v>
      </c>
    </row>
    <row r="57" spans="1:3" x14ac:dyDescent="0.25">
      <c r="A57">
        <v>154</v>
      </c>
      <c r="B57" t="s">
        <v>87</v>
      </c>
      <c r="C57" s="27" t="s">
        <v>5</v>
      </c>
    </row>
    <row r="58" spans="1:3" x14ac:dyDescent="0.25">
      <c r="A58">
        <v>155</v>
      </c>
      <c r="B58" t="s">
        <v>86</v>
      </c>
      <c r="C58" s="27" t="s">
        <v>5</v>
      </c>
    </row>
    <row r="59" spans="1:3" x14ac:dyDescent="0.25">
      <c r="A59">
        <v>156</v>
      </c>
      <c r="B59" t="s">
        <v>85</v>
      </c>
      <c r="C59" s="27" t="s">
        <v>5</v>
      </c>
    </row>
    <row r="60" spans="1:3" x14ac:dyDescent="0.25">
      <c r="A60">
        <v>157</v>
      </c>
      <c r="B60" t="s">
        <v>84</v>
      </c>
      <c r="C60" s="27" t="s">
        <v>5</v>
      </c>
    </row>
    <row r="61" spans="1:3" x14ac:dyDescent="0.25">
      <c r="A61">
        <v>158</v>
      </c>
      <c r="B61" t="s">
        <v>83</v>
      </c>
      <c r="C61" s="27" t="s">
        <v>5</v>
      </c>
    </row>
    <row r="62" spans="1:3" x14ac:dyDescent="0.25">
      <c r="A62">
        <v>159</v>
      </c>
      <c r="B62" t="s">
        <v>82</v>
      </c>
      <c r="C62" s="27" t="s">
        <v>5</v>
      </c>
    </row>
    <row r="63" spans="1:3" x14ac:dyDescent="0.25">
      <c r="A63">
        <v>160</v>
      </c>
      <c r="B63" t="s">
        <v>81</v>
      </c>
      <c r="C63" s="27" t="s">
        <v>5</v>
      </c>
    </row>
    <row r="64" spans="1:3" x14ac:dyDescent="0.25">
      <c r="A64">
        <v>161</v>
      </c>
      <c r="B64" t="s">
        <v>80</v>
      </c>
      <c r="C64" s="27" t="s">
        <v>8</v>
      </c>
    </row>
    <row r="65" spans="1:3" x14ac:dyDescent="0.25">
      <c r="A65">
        <v>162</v>
      </c>
      <c r="B65" t="s">
        <v>79</v>
      </c>
      <c r="C65" s="27" t="s">
        <v>9</v>
      </c>
    </row>
    <row r="66" spans="1:3" x14ac:dyDescent="0.25">
      <c r="A66">
        <v>163</v>
      </c>
      <c r="B66" t="s">
        <v>78</v>
      </c>
      <c r="C66" s="27" t="s">
        <v>9</v>
      </c>
    </row>
    <row r="67" spans="1:3" x14ac:dyDescent="0.25">
      <c r="A67">
        <v>164</v>
      </c>
      <c r="B67" t="s">
        <v>77</v>
      </c>
      <c r="C67" s="27" t="s">
        <v>10</v>
      </c>
    </row>
    <row r="68" spans="1:3" x14ac:dyDescent="0.25">
      <c r="A68">
        <v>165</v>
      </c>
      <c r="B68" t="s">
        <v>76</v>
      </c>
      <c r="C68" s="27" t="s">
        <v>10</v>
      </c>
    </row>
    <row r="69" spans="1:3" x14ac:dyDescent="0.25">
      <c r="A69">
        <v>166</v>
      </c>
      <c r="B69" t="s">
        <v>75</v>
      </c>
      <c r="C69" s="27" t="s">
        <v>10</v>
      </c>
    </row>
    <row r="70" spans="1:3" x14ac:dyDescent="0.25">
      <c r="A70">
        <v>167</v>
      </c>
      <c r="B70" t="s">
        <v>74</v>
      </c>
      <c r="C70" s="27" t="s">
        <v>10</v>
      </c>
    </row>
    <row r="71" spans="1:3" x14ac:dyDescent="0.25">
      <c r="A71">
        <v>168</v>
      </c>
      <c r="B71" t="s">
        <v>73</v>
      </c>
      <c r="C71" s="27" t="s">
        <v>5</v>
      </c>
    </row>
    <row r="72" spans="1:3" x14ac:dyDescent="0.25">
      <c r="A72">
        <v>169</v>
      </c>
      <c r="B72" t="s">
        <v>72</v>
      </c>
      <c r="C72" s="27" t="s">
        <v>10</v>
      </c>
    </row>
    <row r="73" spans="1:3" x14ac:dyDescent="0.25">
      <c r="A73">
        <v>170</v>
      </c>
      <c r="B73" t="s">
        <v>71</v>
      </c>
      <c r="C73" s="27" t="s">
        <v>10</v>
      </c>
    </row>
    <row r="74" spans="1:3" x14ac:dyDescent="0.25">
      <c r="A74">
        <v>171</v>
      </c>
      <c r="B74" t="s">
        <v>27</v>
      </c>
      <c r="C74" s="27" t="s">
        <v>10</v>
      </c>
    </row>
    <row r="75" spans="1:3" x14ac:dyDescent="0.25">
      <c r="A75">
        <v>172</v>
      </c>
      <c r="B75" t="s">
        <v>70</v>
      </c>
      <c r="C75" s="27" t="s">
        <v>10</v>
      </c>
    </row>
    <row r="76" spans="1:3" x14ac:dyDescent="0.25">
      <c r="A76">
        <v>173</v>
      </c>
      <c r="B76" s="3" t="s">
        <v>69</v>
      </c>
      <c r="C76" s="3"/>
    </row>
    <row r="77" spans="1:3" x14ac:dyDescent="0.25">
      <c r="B77" t="s">
        <v>68</v>
      </c>
    </row>
    <row r="78" spans="1:3" x14ac:dyDescent="0.25">
      <c r="A78">
        <v>201</v>
      </c>
      <c r="B78" t="s">
        <v>67</v>
      </c>
      <c r="C78" s="27" t="s">
        <v>25</v>
      </c>
    </row>
    <row r="79" spans="1:3" x14ac:dyDescent="0.25">
      <c r="A79">
        <v>203</v>
      </c>
      <c r="B79" t="s">
        <v>66</v>
      </c>
      <c r="C79" s="27" t="s">
        <v>25</v>
      </c>
    </row>
    <row r="80" spans="1:3" x14ac:dyDescent="0.25">
      <c r="A80">
        <v>204</v>
      </c>
      <c r="B80" t="s">
        <v>65</v>
      </c>
      <c r="C80" s="27" t="s">
        <v>25</v>
      </c>
    </row>
    <row r="81" spans="1:3" x14ac:dyDescent="0.25">
      <c r="A81">
        <v>205</v>
      </c>
      <c r="B81" t="s">
        <v>64</v>
      </c>
      <c r="C81" s="27" t="s">
        <v>25</v>
      </c>
    </row>
    <row r="82" spans="1:3" x14ac:dyDescent="0.25">
      <c r="A82">
        <v>206</v>
      </c>
      <c r="B82" t="s">
        <v>63</v>
      </c>
      <c r="C82" s="27" t="s">
        <v>25</v>
      </c>
    </row>
    <row r="83" spans="1:3" x14ac:dyDescent="0.25">
      <c r="A83">
        <v>207</v>
      </c>
      <c r="B83" t="s">
        <v>62</v>
      </c>
      <c r="C83" s="27" t="s">
        <v>25</v>
      </c>
    </row>
    <row r="84" spans="1:3" x14ac:dyDescent="0.25">
      <c r="A84">
        <v>208</v>
      </c>
      <c r="B84" t="s">
        <v>61</v>
      </c>
      <c r="C84" s="27" t="s">
        <v>25</v>
      </c>
    </row>
    <row r="85" spans="1:3" x14ac:dyDescent="0.25">
      <c r="A85">
        <v>209</v>
      </c>
      <c r="B85" t="s">
        <v>60</v>
      </c>
      <c r="C85" s="27" t="s">
        <v>25</v>
      </c>
    </row>
    <row r="86" spans="1:3" x14ac:dyDescent="0.25">
      <c r="A86">
        <v>210</v>
      </c>
      <c r="B86" t="s">
        <v>59</v>
      </c>
      <c r="C86" s="27" t="s">
        <v>25</v>
      </c>
    </row>
    <row r="87" spans="1:3" x14ac:dyDescent="0.25">
      <c r="A87">
        <v>202</v>
      </c>
      <c r="B87" t="s">
        <v>58</v>
      </c>
      <c r="C87" s="27" t="s">
        <v>25</v>
      </c>
    </row>
    <row r="88" spans="1:3" x14ac:dyDescent="0.25">
      <c r="A88">
        <v>211</v>
      </c>
      <c r="B88" t="s">
        <v>57</v>
      </c>
      <c r="C88" s="27" t="s">
        <v>11</v>
      </c>
    </row>
    <row r="89" spans="1:3" x14ac:dyDescent="0.25">
      <c r="A89">
        <v>212</v>
      </c>
      <c r="B89" t="s">
        <v>56</v>
      </c>
      <c r="C89" s="27" t="s">
        <v>11</v>
      </c>
    </row>
    <row r="90" spans="1:3" x14ac:dyDescent="0.25">
      <c r="A90">
        <v>213</v>
      </c>
      <c r="B90" t="s">
        <v>55</v>
      </c>
      <c r="C90" s="27" t="s">
        <v>11</v>
      </c>
    </row>
    <row r="91" spans="1:3" x14ac:dyDescent="0.25">
      <c r="A91">
        <v>214</v>
      </c>
      <c r="B91" t="s">
        <v>54</v>
      </c>
      <c r="C91" s="27" t="s">
        <v>11</v>
      </c>
    </row>
    <row r="92" spans="1:3" x14ac:dyDescent="0.25">
      <c r="A92">
        <v>215</v>
      </c>
      <c r="B92" t="s">
        <v>53</v>
      </c>
      <c r="C92" s="27" t="s">
        <v>11</v>
      </c>
    </row>
    <row r="93" spans="1:3" x14ac:dyDescent="0.25">
      <c r="A93">
        <v>216</v>
      </c>
      <c r="B93" t="s">
        <v>52</v>
      </c>
      <c r="C93" s="27" t="s">
        <v>12</v>
      </c>
    </row>
    <row r="94" spans="1:3" x14ac:dyDescent="0.25">
      <c r="A94">
        <v>217</v>
      </c>
      <c r="B94" t="s">
        <v>12</v>
      </c>
      <c r="C94" s="27" t="s">
        <v>12</v>
      </c>
    </row>
    <row r="95" spans="1:3" x14ac:dyDescent="0.25">
      <c r="A95">
        <v>218</v>
      </c>
      <c r="B95" t="s">
        <v>191</v>
      </c>
      <c r="C95" s="27" t="s">
        <v>19</v>
      </c>
    </row>
    <row r="96" spans="1:3" x14ac:dyDescent="0.25">
      <c r="A96">
        <v>219</v>
      </c>
      <c r="B96" t="s">
        <v>13</v>
      </c>
      <c r="C96" s="27" t="s">
        <v>15</v>
      </c>
    </row>
    <row r="97" spans="1:3" x14ac:dyDescent="0.25">
      <c r="A97">
        <v>220</v>
      </c>
      <c r="B97" t="s">
        <v>51</v>
      </c>
      <c r="C97" s="27" t="s">
        <v>19</v>
      </c>
    </row>
    <row r="98" spans="1:3" x14ac:dyDescent="0.25">
      <c r="A98">
        <v>221</v>
      </c>
      <c r="B98" t="s">
        <v>48</v>
      </c>
      <c r="C98" s="27" t="s">
        <v>19</v>
      </c>
    </row>
    <row r="99" spans="1:3" x14ac:dyDescent="0.25">
      <c r="A99">
        <v>222</v>
      </c>
      <c r="B99" t="s">
        <v>50</v>
      </c>
      <c r="C99" s="27" t="s">
        <v>19</v>
      </c>
    </row>
    <row r="100" spans="1:3" x14ac:dyDescent="0.25">
      <c r="A100">
        <v>223</v>
      </c>
      <c r="B100" t="s">
        <v>49</v>
      </c>
      <c r="C100" s="27" t="s">
        <v>19</v>
      </c>
    </row>
    <row r="101" spans="1:3" x14ac:dyDescent="0.25">
      <c r="A101">
        <v>224</v>
      </c>
      <c r="B101" t="s">
        <v>14</v>
      </c>
      <c r="C101" s="27" t="s">
        <v>19</v>
      </c>
    </row>
    <row r="102" spans="1:3" x14ac:dyDescent="0.25">
      <c r="A102">
        <v>225</v>
      </c>
      <c r="B102" t="s">
        <v>48</v>
      </c>
      <c r="C102" s="27" t="s">
        <v>19</v>
      </c>
    </row>
    <row r="103" spans="1:3" x14ac:dyDescent="0.25">
      <c r="A103">
        <v>226</v>
      </c>
      <c r="B103" t="s">
        <v>19</v>
      </c>
      <c r="C103" s="27" t="s">
        <v>19</v>
      </c>
    </row>
    <row r="104" spans="1:3" x14ac:dyDescent="0.25">
      <c r="A104">
        <v>227</v>
      </c>
      <c r="B104" t="s">
        <v>47</v>
      </c>
      <c r="C104" s="27" t="s">
        <v>16</v>
      </c>
    </row>
    <row r="105" spans="1:3" x14ac:dyDescent="0.25">
      <c r="A105">
        <v>228</v>
      </c>
      <c r="B105" t="s">
        <v>46</v>
      </c>
      <c r="C105" s="27" t="s">
        <v>16</v>
      </c>
    </row>
    <row r="106" spans="1:3" x14ac:dyDescent="0.25">
      <c r="A106">
        <v>229</v>
      </c>
      <c r="B106" t="s">
        <v>45</v>
      </c>
      <c r="C106" s="27" t="s">
        <v>16</v>
      </c>
    </row>
    <row r="107" spans="1:3" x14ac:dyDescent="0.25">
      <c r="A107">
        <v>230</v>
      </c>
      <c r="B107" t="s">
        <v>44</v>
      </c>
      <c r="C107" s="27" t="s">
        <v>16</v>
      </c>
    </row>
    <row r="108" spans="1:3" x14ac:dyDescent="0.25">
      <c r="A108">
        <v>231</v>
      </c>
      <c r="B108" t="s">
        <v>43</v>
      </c>
      <c r="C108" s="27" t="s">
        <v>16</v>
      </c>
    </row>
    <row r="109" spans="1:3" x14ac:dyDescent="0.25">
      <c r="A109">
        <v>232</v>
      </c>
      <c r="B109" t="s">
        <v>42</v>
      </c>
      <c r="C109" s="27" t="s">
        <v>16</v>
      </c>
    </row>
    <row r="110" spans="1:3" x14ac:dyDescent="0.25">
      <c r="A110">
        <v>233</v>
      </c>
      <c r="B110" t="s">
        <v>41</v>
      </c>
      <c r="C110" s="27" t="s">
        <v>16</v>
      </c>
    </row>
    <row r="111" spans="1:3" x14ac:dyDescent="0.25">
      <c r="A111">
        <v>234</v>
      </c>
      <c r="B111" t="s">
        <v>40</v>
      </c>
      <c r="C111" s="27" t="s">
        <v>16</v>
      </c>
    </row>
    <row r="112" spans="1:3" x14ac:dyDescent="0.25">
      <c r="A112">
        <v>235</v>
      </c>
      <c r="B112" t="s">
        <v>39</v>
      </c>
      <c r="C112" s="27" t="s">
        <v>16</v>
      </c>
    </row>
    <row r="113" spans="1:3" x14ac:dyDescent="0.25">
      <c r="A113">
        <v>236</v>
      </c>
      <c r="B113" t="s">
        <v>38</v>
      </c>
      <c r="C113" s="27" t="s">
        <v>16</v>
      </c>
    </row>
    <row r="114" spans="1:3" x14ac:dyDescent="0.25">
      <c r="A114">
        <v>237</v>
      </c>
      <c r="B114" t="s">
        <v>37</v>
      </c>
      <c r="C114" s="27" t="s">
        <v>16</v>
      </c>
    </row>
    <row r="115" spans="1:3" x14ac:dyDescent="0.25">
      <c r="A115">
        <v>238</v>
      </c>
      <c r="B115" t="s">
        <v>36</v>
      </c>
      <c r="C115" s="27" t="s">
        <v>17</v>
      </c>
    </row>
    <row r="116" spans="1:3" x14ac:dyDescent="0.25">
      <c r="A116">
        <v>239</v>
      </c>
      <c r="B116" t="s">
        <v>35</v>
      </c>
      <c r="C116" s="27" t="s">
        <v>17</v>
      </c>
    </row>
    <row r="117" spans="1:3" x14ac:dyDescent="0.25">
      <c r="A117">
        <v>240</v>
      </c>
      <c r="B117" t="s">
        <v>34</v>
      </c>
      <c r="C117" s="27" t="s">
        <v>17</v>
      </c>
    </row>
    <row r="118" spans="1:3" x14ac:dyDescent="0.25">
      <c r="A118">
        <v>241</v>
      </c>
      <c r="B118" t="s">
        <v>33</v>
      </c>
      <c r="C118" s="27" t="s">
        <v>17</v>
      </c>
    </row>
    <row r="119" spans="1:3" x14ac:dyDescent="0.25">
      <c r="A119">
        <v>242</v>
      </c>
      <c r="B119" t="s">
        <v>18</v>
      </c>
      <c r="C119" s="27" t="s">
        <v>30</v>
      </c>
    </row>
    <row r="120" spans="1:3" x14ac:dyDescent="0.25">
      <c r="A120">
        <v>243</v>
      </c>
      <c r="B120" t="s">
        <v>32</v>
      </c>
      <c r="C120" s="27" t="s">
        <v>30</v>
      </c>
    </row>
    <row r="121" spans="1:3" x14ac:dyDescent="0.25">
      <c r="A121">
        <v>244</v>
      </c>
      <c r="B121" t="s">
        <v>31</v>
      </c>
      <c r="C121" s="27" t="s">
        <v>30</v>
      </c>
    </row>
    <row r="122" spans="1:3" x14ac:dyDescent="0.25">
      <c r="A122">
        <v>245</v>
      </c>
      <c r="B122" t="s">
        <v>29</v>
      </c>
      <c r="C122" s="27" t="s">
        <v>22</v>
      </c>
    </row>
    <row r="123" spans="1:3" x14ac:dyDescent="0.25">
      <c r="A123">
        <v>246</v>
      </c>
      <c r="B123" t="s">
        <v>20</v>
      </c>
      <c r="C123" s="27" t="s">
        <v>20</v>
      </c>
    </row>
    <row r="124" spans="1:3" x14ac:dyDescent="0.25">
      <c r="A124">
        <v>247</v>
      </c>
      <c r="B124" t="s">
        <v>21</v>
      </c>
      <c r="C124" s="27" t="s">
        <v>21</v>
      </c>
    </row>
    <row r="125" spans="1:3" x14ac:dyDescent="0.25">
      <c r="A125">
        <v>248</v>
      </c>
      <c r="B125" t="s">
        <v>28</v>
      </c>
      <c r="C125" s="27" t="s">
        <v>23</v>
      </c>
    </row>
    <row r="126" spans="1:3" x14ac:dyDescent="0.25">
      <c r="A126">
        <v>249</v>
      </c>
      <c r="B126" t="s">
        <v>27</v>
      </c>
      <c r="C126" s="27" t="s">
        <v>27</v>
      </c>
    </row>
    <row r="127" spans="1:3" x14ac:dyDescent="0.25">
      <c r="A127">
        <v>250</v>
      </c>
      <c r="B127" s="3" t="s">
        <v>26</v>
      </c>
    </row>
    <row r="129" spans="1:3" x14ac:dyDescent="0.25">
      <c r="B129" s="11" t="s">
        <v>192</v>
      </c>
    </row>
    <row r="130" spans="1:3" x14ac:dyDescent="0.25">
      <c r="A130">
        <v>531</v>
      </c>
      <c r="B130" s="49" t="s">
        <v>193</v>
      </c>
      <c r="C130" s="27" t="s">
        <v>165</v>
      </c>
    </row>
    <row r="131" spans="1:3" x14ac:dyDescent="0.25">
      <c r="A131">
        <v>532</v>
      </c>
      <c r="B131" s="49" t="s">
        <v>194</v>
      </c>
      <c r="C131" s="27" t="s">
        <v>164</v>
      </c>
    </row>
    <row r="132" spans="1:3" x14ac:dyDescent="0.25">
      <c r="A132">
        <v>533</v>
      </c>
      <c r="B132" s="49" t="s">
        <v>195</v>
      </c>
      <c r="C132" s="27" t="s">
        <v>163</v>
      </c>
    </row>
    <row r="133" spans="1:3" x14ac:dyDescent="0.25">
      <c r="A133">
        <v>534</v>
      </c>
      <c r="B133" s="2" t="s">
        <v>196</v>
      </c>
      <c r="C133" s="2"/>
    </row>
  </sheetData>
  <sheetProtection sheet="1" formatCells="0" formatColumns="0" formatRows="0" insertColumns="0" insertRows="0" insertHyperlinks="0" deleteColumns="0" deleteRows="0"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CWUDFsStorage</vt:lpstr>
      <vt:lpstr>Instructions</vt:lpstr>
      <vt:lpstr>Data Input</vt:lpstr>
      <vt:lpstr>Rev</vt:lpstr>
      <vt:lpstr>Exp</vt:lpstr>
      <vt:lpstr>Position</vt:lpstr>
      <vt:lpstr>Obligations</vt:lpstr>
      <vt:lpstr>F-65 Cross-walk</vt:lpstr>
      <vt:lpstr>Instructions!Citizens_Guide_Instructions</vt:lpstr>
      <vt:lpstr>'Data Input'!Print_Area</vt:lpstr>
      <vt:lpstr>Exp!Print_Area</vt:lpstr>
      <vt:lpstr>Obligations!Print_Area</vt:lpstr>
      <vt:lpstr>Position!Print_Area</vt:lpstr>
      <vt:lpstr>Rev!Print_Area</vt:lpstr>
      <vt:lpstr>'Data Input'!Print_Titles</vt:lpstr>
    </vt:vector>
  </TitlesOfParts>
  <Company>Plante &amp; Moran, PLLC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Joe.Heffernan</dc:creator>
  <cp:lastModifiedBy>Tracy</cp:lastModifiedBy>
  <cp:lastPrinted>2016-11-23T13:20:49Z</cp:lastPrinted>
  <dcterms:created xsi:type="dcterms:W3CDTF">2011-01-04T15:16:36Z</dcterms:created>
  <dcterms:modified xsi:type="dcterms:W3CDTF">2017-11-10T18:18:10Z</dcterms:modified>
</cp:coreProperties>
</file>